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70" i="3" l="1"/>
  <c r="F66" i="3"/>
  <c r="F62" i="3"/>
  <c r="F69" i="3"/>
  <c r="F61" i="3"/>
  <c r="F68" i="3"/>
  <c r="F60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25" i="5"/>
  <c r="B24" i="5"/>
  <c r="B32" i="5" s="1"/>
  <c r="F40" i="3"/>
  <c r="F39" i="3"/>
  <c r="F38" i="3"/>
  <c r="D40" i="3"/>
  <c r="D39" i="3"/>
  <c r="D38" i="3"/>
  <c r="B30" i="5" l="1"/>
  <c r="B31" i="5" s="1"/>
  <c r="B53" i="4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B68" i="3"/>
  <c r="B69" i="3" s="1"/>
  <c r="H67" i="3"/>
  <c r="G67" i="3"/>
  <c r="G66" i="3"/>
  <c r="H66" i="3" s="1"/>
  <c r="G65" i="3"/>
  <c r="H65" i="3" s="1"/>
  <c r="G64" i="3"/>
  <c r="H64" i="3" s="1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F45" i="3"/>
  <c r="D43" i="2"/>
  <c r="E37" i="2" s="1"/>
  <c r="D44" i="3"/>
  <c r="D45" i="3" s="1"/>
  <c r="D46" i="3" l="1"/>
  <c r="E39" i="3"/>
  <c r="E40" i="3"/>
  <c r="E38" i="3"/>
  <c r="F46" i="3"/>
  <c r="G39" i="3"/>
  <c r="G40" i="3"/>
  <c r="G38" i="3"/>
  <c r="E21" i="2"/>
  <c r="E35" i="2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1" i="2"/>
  <c r="E33" i="2"/>
  <c r="E27" i="2"/>
  <c r="E29" i="2"/>
  <c r="E39" i="2"/>
  <c r="E23" i="2"/>
  <c r="E25" i="2"/>
  <c r="G42" i="3" l="1"/>
  <c r="D50" i="3"/>
  <c r="D52" i="3"/>
  <c r="E42" i="3"/>
  <c r="G69" i="3" l="1"/>
  <c r="H69" i="3" s="1"/>
  <c r="G68" i="3"/>
  <c r="H68" i="3" s="1"/>
  <c r="G62" i="3"/>
  <c r="H62" i="3" s="1"/>
  <c r="G70" i="3"/>
  <c r="H70" i="3" s="1"/>
  <c r="D51" i="3"/>
  <c r="G61" i="3"/>
  <c r="H61" i="3" s="1"/>
  <c r="G60" i="3"/>
  <c r="H60" i="3" s="1"/>
  <c r="H72" i="3" l="1"/>
  <c r="G76" i="3" s="1"/>
  <c r="H74" i="3"/>
  <c r="H73" i="3" l="1"/>
</calcChain>
</file>

<file path=xl/sharedStrings.xml><?xml version="1.0" encoding="utf-8"?>
<sst xmlns="http://schemas.openxmlformats.org/spreadsheetml/2006/main" count="271" uniqueCount="118">
  <si>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</si>
  <si>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</si>
  <si>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</si>
  <si>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</si>
  <si>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</si>
  <si>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</si>
  <si>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</si>
  <si>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NDQB201709195</t>
  </si>
  <si>
    <t>Weight (mg):</t>
  </si>
  <si>
    <t>Capreomycin</t>
  </si>
  <si>
    <t>Standard Conc (mg/mL):</t>
  </si>
  <si>
    <t>Each vial contains Capreomycin sulphate equivalent to 1 g Capreomycin.</t>
  </si>
  <si>
    <t>2017-09-27 11:37:55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</si>
  <si>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</si>
  <si>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</si>
  <si>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</si>
  <si>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</si>
  <si>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</si>
  <si>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</si>
  <si>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</si>
  <si>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</si>
  <si>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</si>
  <si>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</si>
  <si>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</si>
  <si>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</si>
  <si>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</si>
  <si>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</si>
  <si>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</si>
  <si>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</si>
  <si>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</si>
  <si>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</si>
  <si>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</si>
  <si>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</si>
  <si>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</si>
  <si>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</si>
  <si>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</si>
  <si>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</si>
  <si>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</si>
  <si>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</si>
  <si>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09:46:22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</si>
  <si>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</si>
  <si>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</si>
  <si>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</si>
  <si>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</si>
  <si>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</si>
  <si>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</si>
  <si>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</si>
  <si>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</si>
  <si>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</si>
  <si>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</si>
  <si>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</si>
  <si>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</si>
  <si>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</si>
  <si>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</si>
  <si>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</si>
  <si>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</si>
  <si>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</si>
  <si>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</si>
  <si>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</si>
  <si>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</si>
  <si>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</si>
  <si>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</si>
  <si>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</si>
  <si>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</si>
  <si>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</si>
  <si>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</si>
  <si>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</si>
  <si>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</si>
  <si>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</si>
  <si>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</si>
  <si>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</si>
  <si>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</si>
  <si>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</si>
  <si>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</si>
  <si>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</si>
  <si>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</si>
  <si>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</si>
  <si>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</si>
  <si>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</si>
  <si>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</si>
  <si>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</si>
  <si>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</si>
  <si>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</si>
  <si>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</si>
  <si>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</si>
  <si>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</si>
  <si>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</si>
  <si>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</si>
  <si>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</si>
  <si>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</si>
  <si>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</si>
  <si>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</si>
  <si>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</si>
  <si>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</si>
  <si>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</si>
  <si>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</si>
  <si>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</si>
  <si>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</si>
  <si>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</si>
  <si>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</si>
  <si>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</si>
  <si>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</si>
  <si>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</si>
  <si>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</si>
  <si>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</si>
  <si>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</si>
  <si>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</si>
  <si>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</si>
  <si>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</si>
  <si>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</si>
  <si>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</si>
  <si>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</si>
  <si>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DR.</t>
  </si>
  <si>
    <t>PETER NGUMO</t>
  </si>
  <si>
    <t>CAPREOMYCIN SULPHATE</t>
  </si>
  <si>
    <t>CAPREOMYCIN SULFATE</t>
  </si>
  <si>
    <t>C79-1</t>
  </si>
  <si>
    <t>2017-09-27 11:20:00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</si>
</sst>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2" fillId="2" borderId="7" xfId="0" applyFont="1" applyFill="1" applyBorder="1" applyProtection="1">
      <protection locked="0"/>
    </xf>
    <xf numFmtId="0" fontId="23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3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4" zoomScale="85" zoomScaleNormal="100" zoomScaleSheetLayoutView="85" workbookViewId="0">
      <selection activeCell="B33" sqref="B33"/>
    </sheetView>
  </sheetViews>
  <sheetFormatPr defaultRowHeight="13.5" x14ac:dyDescent="0.25"/>
  <cols>
    <col min="1" max="1" width="27.5703125" style="279" customWidth="1"/>
    <col min="2" max="2" width="20.42578125" style="279" customWidth="1"/>
    <col min="3" max="3" width="31.85546875" style="279" customWidth="1"/>
    <col min="4" max="4" width="25.85546875" style="279" customWidth="1"/>
    <col min="5" max="5" width="25.7109375" style="279" customWidth="1"/>
    <col min="6" max="6" width="23.140625" style="279" customWidth="1"/>
    <col min="7" max="7" width="28.42578125" style="279" customWidth="1"/>
    <col min="8" max="8" width="21.5703125" style="279" customWidth="1"/>
    <col min="9" max="9" width="9.140625" style="279" customWidth="1"/>
    <col min="10" max="16384" width="9.140625" style="317"/>
  </cols>
  <sheetData>
    <row r="14" spans="1:6" ht="15" customHeight="1" x14ac:dyDescent="0.3">
      <c r="A14" s="278"/>
      <c r="C14" s="280"/>
      <c r="F14" s="280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82" t="s">
        <v>1</v>
      </c>
      <c r="B16" s="283" t="s">
        <v>2</v>
      </c>
    </row>
    <row r="17" spans="1:5" ht="16.5" customHeight="1" x14ac:dyDescent="0.3">
      <c r="A17" s="284" t="s">
        <v>3</v>
      </c>
      <c r="B17" s="284" t="s">
        <v>5</v>
      </c>
      <c r="D17" s="285"/>
      <c r="E17" s="286"/>
    </row>
    <row r="18" spans="1:5" ht="16.5" customHeight="1" x14ac:dyDescent="0.3">
      <c r="A18" s="287" t="s">
        <v>4</v>
      </c>
      <c r="B18" s="288" t="s">
        <v>114</v>
      </c>
      <c r="C18" s="286"/>
      <c r="D18" s="286"/>
      <c r="E18" s="286"/>
    </row>
    <row r="19" spans="1:5" ht="16.5" customHeight="1" x14ac:dyDescent="0.3">
      <c r="A19" s="287" t="s">
        <v>6</v>
      </c>
      <c r="B19" s="289">
        <v>84.4</v>
      </c>
      <c r="C19" s="286"/>
      <c r="D19" s="286"/>
      <c r="E19" s="286"/>
    </row>
    <row r="20" spans="1:5" ht="16.5" customHeight="1" x14ac:dyDescent="0.3">
      <c r="A20" s="284" t="s">
        <v>8</v>
      </c>
      <c r="B20" s="289">
        <v>20.309999999999999</v>
      </c>
      <c r="C20" s="286"/>
      <c r="D20" s="286"/>
      <c r="E20" s="286"/>
    </row>
    <row r="21" spans="1:5" ht="16.5" customHeight="1" x14ac:dyDescent="0.3">
      <c r="A21" s="284" t="s">
        <v>10</v>
      </c>
      <c r="B21" s="290">
        <v>2</v>
      </c>
      <c r="C21" s="286"/>
      <c r="D21" s="286"/>
      <c r="E21" s="286"/>
    </row>
    <row r="22" spans="1:5" ht="15.75" customHeight="1" x14ac:dyDescent="0.25">
      <c r="A22" s="286"/>
      <c r="B22" s="286" t="s">
        <v>117</v>
      </c>
      <c r="C22" s="286"/>
      <c r="D22" s="286"/>
      <c r="E22" s="286"/>
    </row>
    <row r="23" spans="1:5" ht="16.5" customHeight="1" x14ac:dyDescent="0.3">
      <c r="A23" s="291" t="s">
        <v>13</v>
      </c>
      <c r="B23" s="292" t="s">
        <v>14</v>
      </c>
      <c r="C23" s="291" t="s">
        <v>15</v>
      </c>
      <c r="D23" s="291" t="s">
        <v>16</v>
      </c>
      <c r="E23" s="291" t="s">
        <v>17</v>
      </c>
    </row>
    <row r="24" spans="1:5" ht="16.5" customHeight="1" x14ac:dyDescent="0.3">
      <c r="A24" s="293">
        <v>1</v>
      </c>
      <c r="B24" s="294">
        <f>1229177+1446814+21762952+21162635</f>
        <v>45601578</v>
      </c>
      <c r="C24" s="294">
        <v>6500.6</v>
      </c>
      <c r="D24" s="295">
        <v>1.8</v>
      </c>
      <c r="E24" s="296">
        <v>5.2</v>
      </c>
    </row>
    <row r="25" spans="1:5" ht="16.5" customHeight="1" x14ac:dyDescent="0.3">
      <c r="A25" s="293">
        <v>2</v>
      </c>
      <c r="B25" s="294">
        <f>1220981+1437094+21608181+20991319</f>
        <v>45257575</v>
      </c>
      <c r="C25" s="294">
        <v>6495.4</v>
      </c>
      <c r="D25" s="295">
        <v>1.8</v>
      </c>
      <c r="E25" s="295">
        <v>5.2</v>
      </c>
    </row>
    <row r="26" spans="1:5" ht="16.5" customHeight="1" x14ac:dyDescent="0.3">
      <c r="A26" s="293">
        <v>3</v>
      </c>
      <c r="B26" s="294">
        <f>1219812+1437536+21596748+20986486</f>
        <v>45240582</v>
      </c>
      <c r="C26" s="294">
        <v>6539.6</v>
      </c>
      <c r="D26" s="295">
        <v>1.8</v>
      </c>
      <c r="E26" s="295">
        <v>5.2</v>
      </c>
    </row>
    <row r="27" spans="1:5" ht="16.5" customHeight="1" x14ac:dyDescent="0.3">
      <c r="A27" s="293">
        <v>4</v>
      </c>
      <c r="B27" s="294">
        <f>1223089+1442437+21687722+21069217</f>
        <v>45422465</v>
      </c>
      <c r="C27" s="294">
        <v>6525.4</v>
      </c>
      <c r="D27" s="295">
        <v>1.7</v>
      </c>
      <c r="E27" s="295">
        <v>5.2</v>
      </c>
    </row>
    <row r="28" spans="1:5" ht="16.5" customHeight="1" x14ac:dyDescent="0.3">
      <c r="A28" s="293">
        <v>5</v>
      </c>
      <c r="B28" s="294">
        <f>1229055+1447017+21782902+21144406</f>
        <v>45603380</v>
      </c>
      <c r="C28" s="294">
        <v>6546</v>
      </c>
      <c r="D28" s="295">
        <v>1.8</v>
      </c>
      <c r="E28" s="295">
        <v>5.2</v>
      </c>
    </row>
    <row r="29" spans="1:5" ht="16.5" customHeight="1" x14ac:dyDescent="0.3">
      <c r="A29" s="293">
        <v>6</v>
      </c>
      <c r="B29" s="297">
        <f>1231700+1448168+21756275+21132299</f>
        <v>45568442</v>
      </c>
      <c r="C29" s="297">
        <v>6538</v>
      </c>
      <c r="D29" s="298">
        <v>1.7</v>
      </c>
      <c r="E29" s="295">
        <v>5.2</v>
      </c>
    </row>
    <row r="30" spans="1:5" ht="16.5" customHeight="1" x14ac:dyDescent="0.3">
      <c r="A30" s="299" t="s">
        <v>18</v>
      </c>
      <c r="B30" s="300">
        <f>AVERAGE(B24:B29)</f>
        <v>45449003.666666664</v>
      </c>
      <c r="C30" s="301">
        <f>AVERAGE(C24:C29)</f>
        <v>6524.166666666667</v>
      </c>
      <c r="D30" s="302">
        <f>AVERAGE(D24:D29)</f>
        <v>1.7666666666666666</v>
      </c>
      <c r="E30" s="302">
        <f>AVERAGE(E24:E29)</f>
        <v>5.2</v>
      </c>
    </row>
    <row r="31" spans="1:5" ht="16.5" customHeight="1" x14ac:dyDescent="0.3">
      <c r="A31" s="303" t="s">
        <v>19</v>
      </c>
      <c r="B31" s="304">
        <f>(STDEV(B24:B29)/B30)</f>
        <v>3.7101158109369226E-3</v>
      </c>
      <c r="C31" s="305"/>
      <c r="D31" s="305"/>
      <c r="E31" s="306"/>
    </row>
    <row r="32" spans="1:5" s="279" customFormat="1" ht="16.5" customHeight="1" x14ac:dyDescent="0.3">
      <c r="A32" s="307" t="s">
        <v>20</v>
      </c>
      <c r="B32" s="308">
        <f>COUNT(B24:B29)</f>
        <v>6</v>
      </c>
      <c r="C32" s="309"/>
      <c r="D32" s="310"/>
      <c r="E32" s="311"/>
    </row>
    <row r="33" spans="1:5" s="279" customFormat="1" ht="15.75" customHeight="1" x14ac:dyDescent="0.25">
      <c r="A33" s="286"/>
      <c r="B33" s="286"/>
      <c r="C33" s="286"/>
      <c r="D33" s="286"/>
      <c r="E33" s="286"/>
    </row>
    <row r="34" spans="1:5" s="279" customFormat="1" ht="16.5" customHeight="1" x14ac:dyDescent="0.3">
      <c r="A34" s="287" t="s">
        <v>21</v>
      </c>
      <c r="B34" s="312" t="s">
        <v>22</v>
      </c>
      <c r="C34" s="313"/>
      <c r="D34" s="313"/>
      <c r="E34" s="313"/>
    </row>
    <row r="35" spans="1:5" ht="16.5" customHeight="1" x14ac:dyDescent="0.3">
      <c r="A35" s="287"/>
      <c r="B35" s="312" t="s">
        <v>23</v>
      </c>
      <c r="C35" s="313"/>
      <c r="D35" s="313"/>
      <c r="E35" s="313"/>
    </row>
    <row r="36" spans="1:5" ht="16.5" customHeight="1" x14ac:dyDescent="0.3">
      <c r="A36" s="287"/>
      <c r="B36" s="312" t="s">
        <v>24</v>
      </c>
      <c r="C36" s="313"/>
      <c r="D36" s="313"/>
      <c r="E36" s="313"/>
    </row>
    <row r="37" spans="1:5" ht="15.75" customHeight="1" x14ac:dyDescent="0.25">
      <c r="A37" s="286"/>
      <c r="B37" s="286"/>
      <c r="C37" s="286"/>
      <c r="D37" s="286"/>
      <c r="E37" s="286"/>
    </row>
    <row r="38" spans="1:5" ht="16.5" customHeight="1" x14ac:dyDescent="0.3">
      <c r="A38" s="282" t="s">
        <v>1</v>
      </c>
      <c r="B38" s="283" t="s">
        <v>25</v>
      </c>
    </row>
    <row r="39" spans="1:5" ht="16.5" customHeight="1" x14ac:dyDescent="0.3">
      <c r="A39" s="287" t="s">
        <v>4</v>
      </c>
      <c r="B39" s="284"/>
      <c r="C39" s="286"/>
      <c r="D39" s="286"/>
      <c r="E39" s="286"/>
    </row>
    <row r="40" spans="1:5" ht="16.5" customHeight="1" x14ac:dyDescent="0.3">
      <c r="A40" s="287" t="s">
        <v>6</v>
      </c>
      <c r="B40" s="289"/>
      <c r="C40" s="286"/>
      <c r="D40" s="286"/>
      <c r="E40" s="286"/>
    </row>
    <row r="41" spans="1:5" ht="16.5" customHeight="1" x14ac:dyDescent="0.3">
      <c r="A41" s="284" t="s">
        <v>8</v>
      </c>
      <c r="B41" s="289"/>
      <c r="C41" s="286"/>
      <c r="D41" s="286"/>
      <c r="E41" s="286"/>
    </row>
    <row r="42" spans="1:5" ht="16.5" customHeight="1" x14ac:dyDescent="0.3">
      <c r="A42" s="284" t="s">
        <v>10</v>
      </c>
      <c r="B42" s="290"/>
      <c r="C42" s="286"/>
      <c r="D42" s="286"/>
      <c r="E42" s="286"/>
    </row>
    <row r="43" spans="1:5" ht="15.75" customHeight="1" x14ac:dyDescent="0.25">
      <c r="A43" s="286"/>
      <c r="B43" s="286"/>
      <c r="C43" s="286"/>
      <c r="D43" s="286"/>
      <c r="E43" s="286"/>
    </row>
    <row r="44" spans="1:5" ht="16.5" customHeight="1" x14ac:dyDescent="0.3">
      <c r="A44" s="291" t="s">
        <v>13</v>
      </c>
      <c r="B44" s="292" t="s">
        <v>14</v>
      </c>
      <c r="C44" s="291" t="s">
        <v>15</v>
      </c>
      <c r="D44" s="291" t="s">
        <v>16</v>
      </c>
      <c r="E44" s="291" t="s">
        <v>17</v>
      </c>
    </row>
    <row r="45" spans="1:5" ht="16.5" customHeight="1" x14ac:dyDescent="0.3">
      <c r="A45" s="293">
        <v>1</v>
      </c>
      <c r="B45" s="294"/>
      <c r="C45" s="294"/>
      <c r="D45" s="295"/>
      <c r="E45" s="296"/>
    </row>
    <row r="46" spans="1:5" ht="16.5" customHeight="1" x14ac:dyDescent="0.3">
      <c r="A46" s="293">
        <v>2</v>
      </c>
      <c r="B46" s="294"/>
      <c r="C46" s="294"/>
      <c r="D46" s="295"/>
      <c r="E46" s="295"/>
    </row>
    <row r="47" spans="1:5" ht="16.5" customHeight="1" x14ac:dyDescent="0.3">
      <c r="A47" s="293">
        <v>3</v>
      </c>
      <c r="B47" s="294"/>
      <c r="C47" s="294"/>
      <c r="D47" s="295"/>
      <c r="E47" s="295"/>
    </row>
    <row r="48" spans="1:5" ht="16.5" customHeight="1" x14ac:dyDescent="0.3">
      <c r="A48" s="293">
        <v>4</v>
      </c>
      <c r="B48" s="294"/>
      <c r="C48" s="294"/>
      <c r="D48" s="295"/>
      <c r="E48" s="295"/>
    </row>
    <row r="49" spans="1:7" ht="16.5" customHeight="1" x14ac:dyDescent="0.3">
      <c r="A49" s="293">
        <v>5</v>
      </c>
      <c r="B49" s="294"/>
      <c r="C49" s="294"/>
      <c r="D49" s="295"/>
      <c r="E49" s="295"/>
    </row>
    <row r="50" spans="1:7" ht="16.5" customHeight="1" x14ac:dyDescent="0.3">
      <c r="A50" s="293">
        <v>6</v>
      </c>
      <c r="B50" s="297"/>
      <c r="C50" s="297"/>
      <c r="D50" s="298"/>
      <c r="E50" s="298"/>
    </row>
    <row r="51" spans="1:7" ht="16.5" customHeight="1" x14ac:dyDescent="0.3">
      <c r="A51" s="299" t="s">
        <v>18</v>
      </c>
      <c r="B51" s="300" t="e">
        <f>AVERAGE(B45:B50)</f>
        <v>#DIV/0!</v>
      </c>
      <c r="C51" s="301" t="e">
        <f>AVERAGE(C45:C50)</f>
        <v>#DIV/0!</v>
      </c>
      <c r="D51" s="302" t="e">
        <f>AVERAGE(D45:D50)</f>
        <v>#DIV/0!</v>
      </c>
      <c r="E51" s="302" t="e">
        <f>AVERAGE(E45:E50)</f>
        <v>#DIV/0!</v>
      </c>
    </row>
    <row r="52" spans="1:7" ht="16.5" customHeight="1" x14ac:dyDescent="0.3">
      <c r="A52" s="303" t="s">
        <v>19</v>
      </c>
      <c r="B52" s="304" t="e">
        <f>(STDEV(B45:B50)/B51)</f>
        <v>#DIV/0!</v>
      </c>
      <c r="C52" s="305"/>
      <c r="D52" s="305"/>
      <c r="E52" s="306"/>
    </row>
    <row r="53" spans="1:7" s="279" customFormat="1" ht="16.5" customHeight="1" x14ac:dyDescent="0.3">
      <c r="A53" s="307" t="s">
        <v>20</v>
      </c>
      <c r="B53" s="308">
        <f>COUNT(B45:B50)</f>
        <v>0</v>
      </c>
      <c r="C53" s="309"/>
      <c r="D53" s="310"/>
      <c r="E53" s="311"/>
    </row>
    <row r="54" spans="1:7" s="279" customFormat="1" ht="15.75" customHeight="1" x14ac:dyDescent="0.25">
      <c r="A54" s="286"/>
      <c r="B54" s="286"/>
      <c r="C54" s="286"/>
      <c r="D54" s="286"/>
      <c r="E54" s="286"/>
    </row>
    <row r="55" spans="1:7" s="279" customFormat="1" ht="16.5" customHeight="1" x14ac:dyDescent="0.3">
      <c r="A55" s="287" t="s">
        <v>21</v>
      </c>
      <c r="B55" s="312" t="s">
        <v>22</v>
      </c>
      <c r="C55" s="313"/>
      <c r="D55" s="313"/>
      <c r="E55" s="313"/>
    </row>
    <row r="56" spans="1:7" ht="16.5" customHeight="1" x14ac:dyDescent="0.3">
      <c r="A56" s="287"/>
      <c r="B56" s="312" t="s">
        <v>23</v>
      </c>
      <c r="C56" s="313"/>
      <c r="D56" s="313"/>
      <c r="E56" s="313"/>
    </row>
    <row r="57" spans="1:7" ht="16.5" customHeight="1" x14ac:dyDescent="0.3">
      <c r="A57" s="287"/>
      <c r="B57" s="312" t="s">
        <v>24</v>
      </c>
      <c r="C57" s="313"/>
      <c r="D57" s="313"/>
      <c r="E57" s="313"/>
    </row>
    <row r="58" spans="1:7" ht="14.25" customHeight="1" thickBot="1" x14ac:dyDescent="0.3">
      <c r="A58" s="314"/>
      <c r="B58" s="315"/>
      <c r="D58" s="316"/>
      <c r="F58" s="317"/>
      <c r="G58" s="317"/>
    </row>
    <row r="59" spans="1:7" ht="15" customHeight="1" x14ac:dyDescent="0.3">
      <c r="B59" s="318" t="s">
        <v>26</v>
      </c>
      <c r="C59" s="318"/>
      <c r="E59" s="319" t="s">
        <v>27</v>
      </c>
      <c r="F59" s="320"/>
      <c r="G59" s="319" t="s">
        <v>28</v>
      </c>
    </row>
    <row r="60" spans="1:7" ht="15" customHeight="1" x14ac:dyDescent="0.3">
      <c r="A60" s="321" t="s">
        <v>29</v>
      </c>
      <c r="B60" s="322" t="s">
        <v>112</v>
      </c>
      <c r="C60" s="322" t="s">
        <v>113</v>
      </c>
      <c r="E60" s="323"/>
      <c r="G60" s="323"/>
    </row>
    <row r="61" spans="1:7" ht="15" customHeight="1" x14ac:dyDescent="0.3">
      <c r="A61" s="321" t="s">
        <v>30</v>
      </c>
      <c r="B61" s="324"/>
      <c r="C61" s="324"/>
      <c r="E61" s="324"/>
      <c r="G61" s="3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24" sqref="B24:E29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114</v>
      </c>
      <c r="C18" s="36"/>
      <c r="D18" s="36"/>
      <c r="E18" s="36"/>
    </row>
    <row r="19" spans="1:5" ht="16.5" customHeight="1" x14ac:dyDescent="0.3">
      <c r="A19" s="11" t="s">
        <v>6</v>
      </c>
      <c r="B19" s="12">
        <v>84.4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20.309999999999999</v>
      </c>
      <c r="C20" s="36"/>
      <c r="D20" s="36"/>
      <c r="E20" s="36"/>
    </row>
    <row r="21" spans="1:5" ht="16.5" customHeight="1" x14ac:dyDescent="0.3">
      <c r="A21" s="8" t="s">
        <v>10</v>
      </c>
      <c r="B21" s="13">
        <v>2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21762952</v>
      </c>
      <c r="C24" s="18">
        <v>6500.6</v>
      </c>
      <c r="D24" s="19">
        <v>1.8</v>
      </c>
      <c r="E24" s="20">
        <v>5.2</v>
      </c>
    </row>
    <row r="25" spans="1:5" ht="16.5" customHeight="1" x14ac:dyDescent="0.3">
      <c r="A25" s="17">
        <v>2</v>
      </c>
      <c r="B25" s="18">
        <v>21608181</v>
      </c>
      <c r="C25" s="18">
        <v>6495.4</v>
      </c>
      <c r="D25" s="19">
        <v>1.8</v>
      </c>
      <c r="E25" s="19">
        <v>5.2</v>
      </c>
    </row>
    <row r="26" spans="1:5" ht="16.5" customHeight="1" x14ac:dyDescent="0.3">
      <c r="A26" s="17">
        <v>3</v>
      </c>
      <c r="B26" s="18">
        <v>21596748</v>
      </c>
      <c r="C26" s="18">
        <v>6539.6</v>
      </c>
      <c r="D26" s="19">
        <v>1.8</v>
      </c>
      <c r="E26" s="19">
        <v>5.2</v>
      </c>
    </row>
    <row r="27" spans="1:5" ht="16.5" customHeight="1" x14ac:dyDescent="0.3">
      <c r="A27" s="17">
        <v>4</v>
      </c>
      <c r="B27" s="18">
        <v>21687722</v>
      </c>
      <c r="C27" s="18">
        <v>6525.4</v>
      </c>
      <c r="D27" s="19">
        <v>1.7</v>
      </c>
      <c r="E27" s="19">
        <v>5.2</v>
      </c>
    </row>
    <row r="28" spans="1:5" ht="16.5" customHeight="1" x14ac:dyDescent="0.3">
      <c r="A28" s="17">
        <v>5</v>
      </c>
      <c r="B28" s="18">
        <v>21782902</v>
      </c>
      <c r="C28" s="18">
        <v>6546</v>
      </c>
      <c r="D28" s="19">
        <v>1.8</v>
      </c>
      <c r="E28" s="19">
        <v>5.2</v>
      </c>
    </row>
    <row r="29" spans="1:5" ht="16.5" customHeight="1" x14ac:dyDescent="0.3">
      <c r="A29" s="17">
        <v>6</v>
      </c>
      <c r="B29" s="21">
        <v>21756275</v>
      </c>
      <c r="C29" s="21">
        <v>6538</v>
      </c>
      <c r="D29" s="22">
        <v>1.7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21699130</v>
      </c>
      <c r="C30" s="25">
        <f>AVERAGE(C24:C29)</f>
        <v>6524.166666666667</v>
      </c>
      <c r="D30" s="26">
        <f>AVERAGE(D24:D29)</f>
        <v>1.7666666666666666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3.7575636285204282E-3</v>
      </c>
      <c r="C31" s="29"/>
      <c r="D31" s="29"/>
      <c r="E31" s="30"/>
    </row>
    <row r="32" spans="1:5" s="7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162"/>
      <c r="D58" s="43"/>
      <c r="F58" s="44"/>
      <c r="G58" s="44"/>
    </row>
    <row r="59" spans="1:7" ht="15" customHeight="1" x14ac:dyDescent="0.3">
      <c r="B59" s="241" t="s">
        <v>26</v>
      </c>
      <c r="C59" s="241"/>
      <c r="E59" s="236" t="s">
        <v>27</v>
      </c>
      <c r="F59" s="113"/>
      <c r="G59" s="236" t="s">
        <v>28</v>
      </c>
    </row>
    <row r="60" spans="1:7" ht="15" customHeight="1" x14ac:dyDescent="0.3">
      <c r="A60" s="237" t="s">
        <v>29</v>
      </c>
      <c r="B60" s="239" t="s">
        <v>112</v>
      </c>
      <c r="C60" s="239" t="s">
        <v>113</v>
      </c>
      <c r="E60" s="116"/>
      <c r="G60" s="116"/>
    </row>
    <row r="61" spans="1:7" ht="15" customHeight="1" x14ac:dyDescent="0.3">
      <c r="A61" s="237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18" sqref="C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114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26</v>
      </c>
      <c r="C59" s="24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9" t="s">
        <v>112</v>
      </c>
      <c r="C60" s="239" t="s">
        <v>113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8" workbookViewId="0">
      <selection activeCell="G45" sqref="G4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4" t="s">
        <v>31</v>
      </c>
      <c r="B8" s="244"/>
      <c r="C8" s="244"/>
      <c r="D8" s="244"/>
      <c r="E8" s="244"/>
      <c r="F8" s="244"/>
      <c r="G8" s="24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5" t="s">
        <v>32</v>
      </c>
      <c r="B10" s="245"/>
      <c r="C10" s="245"/>
      <c r="D10" s="245"/>
      <c r="E10" s="245"/>
      <c r="F10" s="245"/>
      <c r="G10" s="24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2" t="s">
        <v>33</v>
      </c>
      <c r="B11" s="242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2" t="s">
        <v>34</v>
      </c>
      <c r="B12" s="242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2" t="s">
        <v>35</v>
      </c>
      <c r="B13" s="242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2" t="s">
        <v>36</v>
      </c>
      <c r="B14" s="242"/>
      <c r="C14" s="243" t="s">
        <v>11</v>
      </c>
      <c r="D14" s="243"/>
      <c r="E14" s="243"/>
      <c r="F14" s="243"/>
      <c r="G14" s="24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2" t="s">
        <v>37</v>
      </c>
      <c r="B15" s="242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2" t="s">
        <v>38</v>
      </c>
      <c r="B16" s="242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6" t="s">
        <v>1</v>
      </c>
      <c r="B18" s="24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13016.59</v>
      </c>
      <c r="C21" s="83">
        <v>11910.69</v>
      </c>
      <c r="D21" s="84">
        <f t="shared" ref="D21:D40" si="0">B21-C21</f>
        <v>1105.8999999999996</v>
      </c>
      <c r="E21" s="85">
        <f t="shared" ref="E21:E40" si="1">(D21-$D$43)/$D$43</f>
        <v>-2.58181533092148E-2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13113.05</v>
      </c>
      <c r="C22" s="88">
        <v>11954.85</v>
      </c>
      <c r="D22" s="89">
        <f t="shared" si="0"/>
        <v>1158.1999999999989</v>
      </c>
      <c r="E22" s="85">
        <f t="shared" si="1"/>
        <v>2.0252658321065854E-2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13032.22</v>
      </c>
      <c r="C23" s="88">
        <v>11897.47</v>
      </c>
      <c r="D23" s="89">
        <f t="shared" si="0"/>
        <v>1134.75</v>
      </c>
      <c r="E23" s="85">
        <f t="shared" si="1"/>
        <v>-4.0433083247231125E-4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12988.44</v>
      </c>
      <c r="C24" s="88">
        <v>11850.09</v>
      </c>
      <c r="D24" s="89">
        <f t="shared" si="0"/>
        <v>1138.3500000000004</v>
      </c>
      <c r="E24" s="85">
        <f t="shared" si="1"/>
        <v>2.7668913829967026E-3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13168.32</v>
      </c>
      <c r="C25" s="88">
        <v>12023.21</v>
      </c>
      <c r="D25" s="89">
        <f t="shared" si="0"/>
        <v>1145.1100000000006</v>
      </c>
      <c r="E25" s="85">
        <f t="shared" si="1"/>
        <v>8.7217419875992193E-3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13106.74</v>
      </c>
      <c r="C26" s="88">
        <v>11963.62</v>
      </c>
      <c r="D26" s="89">
        <f t="shared" si="0"/>
        <v>1143.119999999999</v>
      </c>
      <c r="E26" s="85">
        <f t="shared" si="1"/>
        <v>6.9687608184915029E-3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12940.16</v>
      </c>
      <c r="C27" s="88">
        <v>11813.21</v>
      </c>
      <c r="D27" s="89">
        <f t="shared" si="0"/>
        <v>1126.9500000000007</v>
      </c>
      <c r="E27" s="85">
        <f t="shared" si="1"/>
        <v>-7.2753122993205058E-3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13301.17</v>
      </c>
      <c r="C28" s="88">
        <v>12174.04</v>
      </c>
      <c r="D28" s="89">
        <f t="shared" si="0"/>
        <v>1127.1299999999992</v>
      </c>
      <c r="E28" s="85">
        <f t="shared" si="1"/>
        <v>-7.1167511885484166E-3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13150.54</v>
      </c>
      <c r="C29" s="88">
        <v>12010.77</v>
      </c>
      <c r="D29" s="89">
        <f t="shared" si="0"/>
        <v>1139.7700000000004</v>
      </c>
      <c r="E29" s="85">
        <f t="shared" si="1"/>
        <v>4.0177623679871956E-3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13313.23</v>
      </c>
      <c r="C30" s="88">
        <v>12176.03</v>
      </c>
      <c r="D30" s="89">
        <f t="shared" si="0"/>
        <v>1137.1999999999989</v>
      </c>
      <c r="E30" s="85">
        <f t="shared" si="1"/>
        <v>1.7538620641651436E-3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13112.01</v>
      </c>
      <c r="C31" s="88">
        <v>11974.71</v>
      </c>
      <c r="D31" s="89">
        <f t="shared" si="0"/>
        <v>1137.3000000000011</v>
      </c>
      <c r="E31" s="85">
        <f t="shared" si="1"/>
        <v>1.8419515701523078E-3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13090.76</v>
      </c>
      <c r="C32" s="88">
        <v>11963.04</v>
      </c>
      <c r="D32" s="89">
        <f t="shared" si="0"/>
        <v>1127.7199999999993</v>
      </c>
      <c r="E32" s="85">
        <f t="shared" si="1"/>
        <v>-6.5970231032353643E-3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13180.08</v>
      </c>
      <c r="C33" s="88">
        <v>12039.1</v>
      </c>
      <c r="D33" s="89">
        <f t="shared" si="0"/>
        <v>1140.9799999999996</v>
      </c>
      <c r="E33" s="85">
        <f t="shared" si="1"/>
        <v>5.0836453904078488E-3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12931.17</v>
      </c>
      <c r="C34" s="88">
        <v>11790.09</v>
      </c>
      <c r="D34" s="89">
        <f t="shared" si="0"/>
        <v>1141.08</v>
      </c>
      <c r="E34" s="85">
        <f t="shared" si="1"/>
        <v>5.1717348963934099E-3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12929.95</v>
      </c>
      <c r="C35" s="88">
        <v>11796.68</v>
      </c>
      <c r="D35" s="89">
        <f t="shared" si="0"/>
        <v>1133.2700000000004</v>
      </c>
      <c r="E35" s="85">
        <f t="shared" si="1"/>
        <v>-1.7080555210535007E-3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13137.96</v>
      </c>
      <c r="C36" s="88">
        <v>11995.25</v>
      </c>
      <c r="D36" s="89">
        <f t="shared" si="0"/>
        <v>1142.7099999999991</v>
      </c>
      <c r="E36" s="85">
        <f t="shared" si="1"/>
        <v>6.607593843952141E-3</v>
      </c>
      <c r="G36" s="66"/>
      <c r="H36" s="66"/>
    </row>
    <row r="37" spans="1:15" ht="15" x14ac:dyDescent="0.3">
      <c r="A37" s="86">
        <v>17</v>
      </c>
      <c r="B37" s="90">
        <v>13133.55</v>
      </c>
      <c r="C37" s="88">
        <v>12002.26</v>
      </c>
      <c r="D37" s="89">
        <f t="shared" si="0"/>
        <v>1131.2899999999991</v>
      </c>
      <c r="E37" s="85">
        <f t="shared" si="1"/>
        <v>-3.4522277395624998E-3</v>
      </c>
    </row>
    <row r="38" spans="1:15" ht="15" x14ac:dyDescent="0.3">
      <c r="A38" s="86">
        <v>18</v>
      </c>
      <c r="B38" s="90">
        <v>13020.74</v>
      </c>
      <c r="C38" s="88">
        <v>11891.3</v>
      </c>
      <c r="D38" s="89">
        <f t="shared" si="0"/>
        <v>1129.4400000000005</v>
      </c>
      <c r="E38" s="85">
        <f t="shared" si="1"/>
        <v>-5.0818836002881852E-3</v>
      </c>
    </row>
    <row r="39" spans="1:15" ht="15" x14ac:dyDescent="0.3">
      <c r="A39" s="86">
        <v>19</v>
      </c>
      <c r="B39" s="90">
        <v>13055.05</v>
      </c>
      <c r="C39" s="88">
        <v>11929.47</v>
      </c>
      <c r="D39" s="89">
        <f t="shared" si="0"/>
        <v>1125.58</v>
      </c>
      <c r="E39" s="85">
        <f t="shared" si="1"/>
        <v>-8.4821385313190185E-3</v>
      </c>
    </row>
    <row r="40" spans="1:15" ht="14.25" customHeight="1" x14ac:dyDescent="0.3">
      <c r="A40" s="91">
        <v>20</v>
      </c>
      <c r="B40" s="92">
        <v>13008.56</v>
      </c>
      <c r="C40" s="93">
        <v>11870.23</v>
      </c>
      <c r="D40" s="94">
        <f t="shared" si="0"/>
        <v>1138.33</v>
      </c>
      <c r="E40" s="95">
        <f t="shared" si="1"/>
        <v>2.7492734817992697E-3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261730.29</v>
      </c>
      <c r="C42" s="98">
        <f>SUM(C21:C40)</f>
        <v>239026.11000000004</v>
      </c>
      <c r="D42" s="99">
        <f>SUM(D21:D40)</f>
        <v>22704.18</v>
      </c>
    </row>
    <row r="43" spans="1:15" ht="15.75" customHeight="1" x14ac:dyDescent="0.3">
      <c r="A43" s="100" t="s">
        <v>47</v>
      </c>
      <c r="B43" s="101">
        <f>AVERAGE(B21:B40)</f>
        <v>13086.514500000001</v>
      </c>
      <c r="C43" s="102">
        <f>AVERAGE(C21:C40)</f>
        <v>11951.305500000002</v>
      </c>
      <c r="D43" s="103">
        <f>AVERAGE(D21:D40)</f>
        <v>1135.2090000000001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47">
        <f>D43</f>
        <v>1135.2090000000001</v>
      </c>
      <c r="C47" s="107">
        <f>-(IF(D43&gt;300, 7.5%, 10%))</f>
        <v>-7.4999999999999997E-2</v>
      </c>
      <c r="D47" s="108">
        <f>IF(D43&lt;300, D43*0.9, D43*0.925)</f>
        <v>1050.0683250000002</v>
      </c>
    </row>
    <row r="48" spans="1:15" ht="15.75" customHeight="1" x14ac:dyDescent="0.3">
      <c r="B48" s="248"/>
      <c r="C48" s="109">
        <f>+(IF(D43&gt;300, 7.5%, 10%))</f>
        <v>7.4999999999999997E-2</v>
      </c>
      <c r="D48" s="108">
        <f>IF(D43&lt;300, D43*1.1, D43*1.075)</f>
        <v>1220.3496749999999</v>
      </c>
    </row>
    <row r="49" spans="1:7" ht="14.25" customHeight="1" x14ac:dyDescent="0.3">
      <c r="A49" s="110"/>
      <c r="D49" s="111"/>
    </row>
    <row r="50" spans="1:7" ht="15" customHeight="1" x14ac:dyDescent="0.3">
      <c r="B50" s="241" t="s">
        <v>26</v>
      </c>
      <c r="C50" s="241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56" zoomScale="78" zoomScaleNormal="78" zoomScaleSheetLayoutView="78" workbookViewId="0">
      <selection activeCell="F65" sqref="F65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9" t="s">
        <v>49</v>
      </c>
      <c r="B1" s="249"/>
      <c r="C1" s="249"/>
      <c r="D1" s="249"/>
      <c r="E1" s="249"/>
      <c r="F1" s="249"/>
      <c r="G1" s="249"/>
      <c r="H1" s="249"/>
    </row>
    <row r="2" spans="1:8" x14ac:dyDescent="0.2">
      <c r="A2" s="249"/>
      <c r="B2" s="249"/>
      <c r="C2" s="249"/>
      <c r="D2" s="249"/>
      <c r="E2" s="249"/>
      <c r="F2" s="249"/>
      <c r="G2" s="249"/>
      <c r="H2" s="249"/>
    </row>
    <row r="3" spans="1:8" x14ac:dyDescent="0.2">
      <c r="A3" s="249"/>
      <c r="B3" s="249"/>
      <c r="C3" s="249"/>
      <c r="D3" s="249"/>
      <c r="E3" s="249"/>
      <c r="F3" s="249"/>
      <c r="G3" s="249"/>
      <c r="H3" s="249"/>
    </row>
    <row r="4" spans="1:8" x14ac:dyDescent="0.2">
      <c r="A4" s="249"/>
      <c r="B4" s="249"/>
      <c r="C4" s="249"/>
      <c r="D4" s="249"/>
      <c r="E4" s="249"/>
      <c r="F4" s="249"/>
      <c r="G4" s="249"/>
      <c r="H4" s="249"/>
    </row>
    <row r="5" spans="1:8" x14ac:dyDescent="0.2">
      <c r="A5" s="249"/>
      <c r="B5" s="249"/>
      <c r="C5" s="249"/>
      <c r="D5" s="249"/>
      <c r="E5" s="249"/>
      <c r="F5" s="249"/>
      <c r="G5" s="249"/>
      <c r="H5" s="249"/>
    </row>
    <row r="6" spans="1:8" x14ac:dyDescent="0.2">
      <c r="A6" s="249"/>
      <c r="B6" s="249"/>
      <c r="C6" s="249"/>
      <c r="D6" s="249"/>
      <c r="E6" s="249"/>
      <c r="F6" s="249"/>
      <c r="G6" s="249"/>
      <c r="H6" s="249"/>
    </row>
    <row r="7" spans="1:8" x14ac:dyDescent="0.2">
      <c r="A7" s="249"/>
      <c r="B7" s="249"/>
      <c r="C7" s="249"/>
      <c r="D7" s="249"/>
      <c r="E7" s="249"/>
      <c r="F7" s="249"/>
      <c r="G7" s="249"/>
      <c r="H7" s="249"/>
    </row>
    <row r="8" spans="1:8" x14ac:dyDescent="0.2">
      <c r="A8" s="250" t="s">
        <v>50</v>
      </c>
      <c r="B8" s="250"/>
      <c r="C8" s="250"/>
      <c r="D8" s="250"/>
      <c r="E8" s="250"/>
      <c r="F8" s="250"/>
      <c r="G8" s="250"/>
      <c r="H8" s="250"/>
    </row>
    <row r="9" spans="1:8" x14ac:dyDescent="0.2">
      <c r="A9" s="250"/>
      <c r="B9" s="250"/>
      <c r="C9" s="250"/>
      <c r="D9" s="250"/>
      <c r="E9" s="250"/>
      <c r="F9" s="250"/>
      <c r="G9" s="250"/>
      <c r="H9" s="250"/>
    </row>
    <row r="10" spans="1:8" x14ac:dyDescent="0.2">
      <c r="A10" s="250"/>
      <c r="B10" s="250"/>
      <c r="C10" s="250"/>
      <c r="D10" s="250"/>
      <c r="E10" s="250"/>
      <c r="F10" s="250"/>
      <c r="G10" s="250"/>
      <c r="H10" s="250"/>
    </row>
    <row r="11" spans="1:8" x14ac:dyDescent="0.2">
      <c r="A11" s="250"/>
      <c r="B11" s="250"/>
      <c r="C11" s="250"/>
      <c r="D11" s="250"/>
      <c r="E11" s="250"/>
      <c r="F11" s="250"/>
      <c r="G11" s="250"/>
      <c r="H11" s="250"/>
    </row>
    <row r="12" spans="1:8" x14ac:dyDescent="0.2">
      <c r="A12" s="250"/>
      <c r="B12" s="250"/>
      <c r="C12" s="250"/>
      <c r="D12" s="250"/>
      <c r="E12" s="250"/>
      <c r="F12" s="250"/>
      <c r="G12" s="250"/>
      <c r="H12" s="250"/>
    </row>
    <row r="13" spans="1:8" x14ac:dyDescent="0.2">
      <c r="A13" s="250"/>
      <c r="B13" s="250"/>
      <c r="C13" s="250"/>
      <c r="D13" s="250"/>
      <c r="E13" s="250"/>
      <c r="F13" s="250"/>
      <c r="G13" s="250"/>
      <c r="H13" s="250"/>
    </row>
    <row r="14" spans="1:8" x14ac:dyDescent="0.2">
      <c r="A14" s="250"/>
      <c r="B14" s="250"/>
      <c r="C14" s="250"/>
      <c r="D14" s="250"/>
      <c r="E14" s="250"/>
      <c r="F14" s="250"/>
      <c r="G14" s="250"/>
      <c r="H14" s="250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57" t="s">
        <v>31</v>
      </c>
      <c r="B16" s="258"/>
      <c r="C16" s="258"/>
      <c r="D16" s="258"/>
      <c r="E16" s="258"/>
      <c r="F16" s="258"/>
      <c r="G16" s="258"/>
      <c r="H16" s="259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260" t="s">
        <v>5</v>
      </c>
      <c r="C18" s="260"/>
      <c r="D18" s="260"/>
      <c r="E18" s="260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261" t="s">
        <v>11</v>
      </c>
      <c r="C21" s="261"/>
      <c r="D21" s="261"/>
      <c r="E21" s="261"/>
      <c r="F21" s="261"/>
      <c r="G21" s="261"/>
      <c r="H21" s="261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0" t="s">
        <v>115</v>
      </c>
      <c r="C26" s="260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261" t="s">
        <v>116</v>
      </c>
      <c r="C27" s="261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7" t="s">
        <v>58</v>
      </c>
      <c r="B32" s="133">
        <v>1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268" t="s">
        <v>63</v>
      </c>
      <c r="E36" s="269"/>
      <c r="F36" s="268" t="s">
        <v>64</v>
      </c>
      <c r="G36" s="270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271" t="s">
        <v>81</v>
      </c>
      <c r="B46" s="272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273"/>
      <c r="B47" s="274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Capreomycin sulphate equivalent to 1 g Capreomycin.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1135.2090000000001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51" t="s">
        <v>97</v>
      </c>
      <c r="D60" s="254">
        <v>228.24</v>
      </c>
      <c r="E60" s="191">
        <v>1</v>
      </c>
      <c r="F60" s="192">
        <f>287101+86970+31751842+26000864</f>
        <v>58126777</v>
      </c>
      <c r="G60" s="193">
        <f>IF(ISBLANK(F60),"-",(F60/$D$50*$D$47*$B$68)*($B$57/$D$60))</f>
        <v>1076.5605214921366</v>
      </c>
      <c r="H60" s="194">
        <f t="shared" ref="H60:H71" si="0">IF(ISBLANK(F60),"-",G60/$B$56)</f>
        <v>1.0765605214921365</v>
      </c>
    </row>
    <row r="61" spans="1:8" ht="26.25" customHeight="1" x14ac:dyDescent="0.4">
      <c r="A61" s="140" t="s">
        <v>98</v>
      </c>
      <c r="B61" s="141">
        <v>1</v>
      </c>
      <c r="C61" s="252"/>
      <c r="D61" s="255"/>
      <c r="E61" s="195">
        <v>2</v>
      </c>
      <c r="F61" s="151">
        <f>285847+85481+32020517+26213223</f>
        <v>58605068</v>
      </c>
      <c r="G61" s="196">
        <f>IF(ISBLANK(F61),"-",(F61/$D$50*$D$47*$B$68)*($B$57/$D$60))</f>
        <v>1085.4189037207777</v>
      </c>
      <c r="H61" s="197">
        <f t="shared" si="0"/>
        <v>1.0854189037207778</v>
      </c>
    </row>
    <row r="62" spans="1:8" ht="26.25" customHeight="1" x14ac:dyDescent="0.4">
      <c r="A62" s="140" t="s">
        <v>99</v>
      </c>
      <c r="B62" s="141">
        <v>1</v>
      </c>
      <c r="C62" s="252"/>
      <c r="D62" s="255"/>
      <c r="E62" s="195">
        <v>3</v>
      </c>
      <c r="F62" s="151">
        <f>277426+82456+31426574+25776824</f>
        <v>57563280</v>
      </c>
      <c r="G62" s="196">
        <f>IF(ISBLANK(F62),"-",(F62/$D$50*$D$47*$B$68)*($B$57/$D$60))</f>
        <v>1066.1240470222162</v>
      </c>
      <c r="H62" s="197">
        <f t="shared" si="0"/>
        <v>1.0661240470222162</v>
      </c>
    </row>
    <row r="63" spans="1:8" ht="27" customHeight="1" x14ac:dyDescent="0.4">
      <c r="A63" s="140" t="s">
        <v>100</v>
      </c>
      <c r="B63" s="141">
        <v>1</v>
      </c>
      <c r="C63" s="253"/>
      <c r="D63" s="256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51" t="s">
        <v>102</v>
      </c>
      <c r="D64" s="254">
        <v>227.84</v>
      </c>
      <c r="E64" s="191">
        <v>1</v>
      </c>
      <c r="F64" s="192"/>
      <c r="G64" s="200" t="str">
        <f>IF(ISBLANK(F64),"-",(F64/$D$50*$D$47*$B$68)*($B$57/$D$64))</f>
        <v>-</v>
      </c>
      <c r="H64" s="201" t="str">
        <f t="shared" si="0"/>
        <v>-</v>
      </c>
    </row>
    <row r="65" spans="1:8" ht="26.25" customHeight="1" x14ac:dyDescent="0.4">
      <c r="A65" s="140" t="s">
        <v>103</v>
      </c>
      <c r="B65" s="141">
        <v>1</v>
      </c>
      <c r="C65" s="252"/>
      <c r="D65" s="255"/>
      <c r="E65" s="195">
        <v>2</v>
      </c>
      <c r="F65" s="151"/>
      <c r="G65" s="202" t="str">
        <f>IF(ISBLANK(F65),"-",(F65/$D$50*$D$47*$B$68)*($B$57/$D$64))</f>
        <v>-</v>
      </c>
      <c r="H65" s="203" t="str">
        <f t="shared" si="0"/>
        <v>-</v>
      </c>
    </row>
    <row r="66" spans="1:8" ht="26.25" customHeight="1" x14ac:dyDescent="0.4">
      <c r="A66" s="140" t="s">
        <v>104</v>
      </c>
      <c r="B66" s="141">
        <v>1</v>
      </c>
      <c r="C66" s="252"/>
      <c r="D66" s="255"/>
      <c r="E66" s="195">
        <v>3</v>
      </c>
      <c r="F66" s="151">
        <f>288583+86307+32371989+26524668</f>
        <v>59271547</v>
      </c>
      <c r="G66" s="202">
        <f>IF(ISBLANK(F66),"-",(F66/$D$50*$D$47*$B$68)*($B$57/$D$64))</f>
        <v>1099.689949969053</v>
      </c>
      <c r="H66" s="203">
        <f t="shared" si="0"/>
        <v>1.0996899499690531</v>
      </c>
    </row>
    <row r="67" spans="1:8" ht="27" customHeight="1" x14ac:dyDescent="0.4">
      <c r="A67" s="140" t="s">
        <v>105</v>
      </c>
      <c r="B67" s="141">
        <v>1</v>
      </c>
      <c r="C67" s="253"/>
      <c r="D67" s="256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51" t="s">
        <v>107</v>
      </c>
      <c r="D68" s="254">
        <v>227.28</v>
      </c>
      <c r="E68" s="191">
        <v>1</v>
      </c>
      <c r="F68" s="192">
        <f>277144+81436+31216884+25536390</f>
        <v>57111854</v>
      </c>
      <c r="G68" s="200">
        <f>IF(ISBLANK(F68),"-",(F68/$D$50*$D$47*$B$68)*($B$57/$D$68))</f>
        <v>1062.2310778172539</v>
      </c>
      <c r="H68" s="197">
        <f t="shared" si="0"/>
        <v>1.0622310778172539</v>
      </c>
    </row>
    <row r="69" spans="1:8" ht="27" customHeight="1" x14ac:dyDescent="0.4">
      <c r="A69" s="182" t="s">
        <v>108</v>
      </c>
      <c r="B69" s="207">
        <f>(D47*B68)/B56*B57</f>
        <v>227.04180000000002</v>
      </c>
      <c r="C69" s="252"/>
      <c r="D69" s="255"/>
      <c r="E69" s="195">
        <v>2</v>
      </c>
      <c r="F69" s="151">
        <f>277339+82538+31399888+25740688</f>
        <v>57500453</v>
      </c>
      <c r="G69" s="202">
        <f>IF(ISBLANK(F69),"-",(F69/$D$50*$D$47*$B$68)*($B$57/$D$68))</f>
        <v>1069.4586830462615</v>
      </c>
      <c r="H69" s="197">
        <f t="shared" si="0"/>
        <v>1.0694586830462616</v>
      </c>
    </row>
    <row r="70" spans="1:8" ht="26.25" customHeight="1" x14ac:dyDescent="0.4">
      <c r="A70" s="271" t="s">
        <v>81</v>
      </c>
      <c r="B70" s="272"/>
      <c r="C70" s="252"/>
      <c r="D70" s="255"/>
      <c r="E70" s="195">
        <v>3</v>
      </c>
      <c r="F70" s="151">
        <f>279745+82297+31550286+25871310</f>
        <v>57783638</v>
      </c>
      <c r="G70" s="202">
        <f>IF(ISBLANK(F70),"-",(F70/$D$50*$D$47*$B$68)*($B$57/$D$68))</f>
        <v>1074.7256790672918</v>
      </c>
      <c r="H70" s="197">
        <f t="shared" si="0"/>
        <v>1.0747256790672919</v>
      </c>
    </row>
    <row r="71" spans="1:8" ht="27" customHeight="1" x14ac:dyDescent="0.4">
      <c r="A71" s="273"/>
      <c r="B71" s="274"/>
      <c r="C71" s="276"/>
      <c r="D71" s="256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1.0763155517335701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1.1880543665572618E-2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7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277" t="str">
        <f>B20</f>
        <v>Capreomycin</v>
      </c>
      <c r="D76" s="277"/>
      <c r="E76" s="222" t="s">
        <v>111</v>
      </c>
      <c r="F76" s="222"/>
      <c r="G76" s="223">
        <f>H72</f>
        <v>1.0763155517335701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75" t="s">
        <v>26</v>
      </c>
      <c r="C78" s="275"/>
      <c r="D78" s="119"/>
      <c r="E78" s="226" t="s">
        <v>27</v>
      </c>
      <c r="F78" s="227"/>
      <c r="G78" s="275" t="s">
        <v>28</v>
      </c>
      <c r="H78" s="275"/>
    </row>
    <row r="79" spans="1:8" ht="60" customHeight="1" x14ac:dyDescent="0.3">
      <c r="A79" s="228" t="s">
        <v>29</v>
      </c>
      <c r="B79" s="238" t="s">
        <v>112</v>
      </c>
      <c r="C79" s="238" t="s">
        <v>113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2018-02-09T07:02:59Z</cp:lastPrinted>
  <dcterms:created xsi:type="dcterms:W3CDTF">2005-07-05T10:19:27Z</dcterms:created>
  <dcterms:modified xsi:type="dcterms:W3CDTF">2018-02-09T07:05:31Z</dcterms:modified>
</cp:coreProperties>
</file>