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4"/>
  </bookViews>
  <sheets>
    <sheet name="CAPREOMYCIN Total SST" sheetId="5" r:id="rId1"/>
    <sheet name="CAPREOMYCIN IA SST" sheetId="4" r:id="rId2"/>
    <sheet name="CAPREOMYCIN IB SST" sheetId="1" r:id="rId3"/>
    <sheet name="Uniformity" sheetId="2" r:id="rId4"/>
    <sheet name="CAPREOMYCIN" sheetId="3" r:id="rId5"/>
  </sheets>
  <definedNames>
    <definedName name="_xlnm.Print_Area" localSheetId="4">CAPREOMYCIN!$A$1:$H$80</definedName>
    <definedName name="_xlnm.Print_Area" localSheetId="0">'CAPREOMYCIN Total SST'!$A$1:$G$61</definedName>
  </definedNames>
  <calcPr calcId="162913"/>
</workbook>
</file>

<file path=xl/calcChain.xml><?xml version="1.0" encoding="utf-8"?>
<calcChain xmlns="http://schemas.openxmlformats.org/spreadsheetml/2006/main">
  <c r="F66" i="3" l="1"/>
  <c r="F62" i="3"/>
  <c r="F65" i="3"/>
  <c r="F61" i="3"/>
  <c r="F64" i="3"/>
  <c r="F60" i="3"/>
  <c r="D40" i="3"/>
  <c r="D39" i="3"/>
  <c r="D38" i="3"/>
  <c r="F40" i="3"/>
  <c r="F39" i="3"/>
  <c r="F38" i="3"/>
  <c r="B53" i="5"/>
  <c r="E51" i="5"/>
  <c r="D51" i="5"/>
  <c r="C51" i="5"/>
  <c r="B51" i="5"/>
  <c r="B52" i="5" s="1"/>
  <c r="E30" i="5"/>
  <c r="D30" i="5"/>
  <c r="C30" i="5"/>
  <c r="B29" i="5"/>
  <c r="B28" i="5"/>
  <c r="B27" i="5"/>
  <c r="B26" i="5"/>
  <c r="B25" i="5"/>
  <c r="B24" i="5"/>
  <c r="B32" i="5" s="1"/>
  <c r="B30" i="5" l="1"/>
  <c r="B31" i="5" s="1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76" i="3" l="1"/>
  <c r="H71" i="3"/>
  <c r="G71" i="3"/>
  <c r="G70" i="3"/>
  <c r="H70" i="3" s="1"/>
  <c r="G69" i="3"/>
  <c r="H69" i="3" s="1"/>
  <c r="H68" i="3"/>
  <c r="G68" i="3"/>
  <c r="B68" i="3"/>
  <c r="B69" i="3" s="1"/>
  <c r="H67" i="3"/>
  <c r="G67" i="3"/>
  <c r="H63" i="3"/>
  <c r="G63" i="3"/>
  <c r="C56" i="3"/>
  <c r="B55" i="3"/>
  <c r="B45" i="3"/>
  <c r="D48" i="3" s="1"/>
  <c r="D49" i="3" s="1"/>
  <c r="F42" i="3"/>
  <c r="D42" i="3"/>
  <c r="G41" i="3"/>
  <c r="E41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2" i="2" l="1"/>
  <c r="F45" i="3"/>
  <c r="E25" i="2"/>
  <c r="E31" i="2"/>
  <c r="D44" i="3"/>
  <c r="D45" i="3" s="1"/>
  <c r="D43" i="2"/>
  <c r="E33" i="2" s="1"/>
  <c r="E27" i="2" l="1"/>
  <c r="E37" i="2"/>
  <c r="E29" i="2"/>
  <c r="E21" i="2"/>
  <c r="E35" i="2"/>
  <c r="D46" i="3"/>
  <c r="E40" i="3"/>
  <c r="E39" i="3"/>
  <c r="E38" i="3"/>
  <c r="F46" i="3"/>
  <c r="G39" i="3"/>
  <c r="G40" i="3"/>
  <c r="G38" i="3"/>
  <c r="D48" i="2"/>
  <c r="B47" i="2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39" i="2"/>
  <c r="E23" i="2"/>
  <c r="G42" i="3" l="1"/>
  <c r="D50" i="3"/>
  <c r="D52" i="3"/>
  <c r="E42" i="3"/>
  <c r="D51" i="3" l="1"/>
  <c r="G64" i="3"/>
  <c r="H64" i="3" s="1"/>
  <c r="G61" i="3"/>
  <c r="H61" i="3" s="1"/>
  <c r="G62" i="3"/>
  <c r="H62" i="3" s="1"/>
  <c r="G60" i="3"/>
  <c r="H60" i="3" s="1"/>
  <c r="G66" i="3"/>
  <c r="H66" i="3" s="1"/>
  <c r="G65" i="3"/>
  <c r="H65" i="3" s="1"/>
  <c r="H74" i="3" l="1"/>
  <c r="H72" i="3"/>
  <c r="G76" i="3" l="1"/>
  <c r="H73" i="3"/>
</calcChain>
</file>

<file path=xl/sharedStrings.xml><?xml version="1.0" encoding="utf-8"?>
<sst xmlns="http://schemas.openxmlformats.org/spreadsheetml/2006/main" count="271" uniqueCount="121">
  <si>
    <t>HPLC System Suitability Report</t>
  </si>
  <si>
    <t>Analysis Data</t>
  </si>
  <si>
    <t>Assay</t>
  </si>
  <si>
    <t>Sample(s)</t>
  </si>
  <si>
    <t>Reference Substance:</t>
  </si>
  <si>
    <t>CAPREOMYCIN INJECTION USP 1 g</t>
  </si>
  <si>
    <t>% age Purity:</t>
  </si>
  <si>
    <t>NDQB201709201</t>
  </si>
  <si>
    <t>Weight (mg):</t>
  </si>
  <si>
    <t>Capreomycin</t>
  </si>
  <si>
    <t>Standard Conc (mg/mL):</t>
  </si>
  <si>
    <t>Each vial contains Capreomycin sulphate equivalent to 1 g Capreomycin.</t>
  </si>
  <si>
    <t>2017-09-27 12:04:33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</si>
  <si>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</si>
  <si>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</si>
  <si>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</si>
  <si>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</si>
  <si>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</si>
  <si>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</si>
  <si>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</si>
  <si>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</si>
  <si>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</si>
  <si>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</si>
  <si>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</si>
  <si>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</si>
  <si>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</si>
  <si>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</si>
  <si>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</si>
  <si>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</si>
  <si>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</si>
  <si>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</si>
  <si>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</si>
  <si>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</si>
  <si>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</si>
  <si>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</si>
  <si>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</si>
  <si>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</si>
  <si>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</si>
  <si>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</si>
  <si>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2017-11-22 12:19:44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</si>
  <si>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</si>
  <si>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</si>
  <si>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</si>
  <si>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</si>
  <si>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</si>
  <si>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</si>
  <si>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</si>
  <si>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</si>
  <si>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</si>
  <si>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</si>
  <si>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</si>
  <si>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</si>
  <si>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</si>
  <si>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</si>
  <si>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</si>
  <si>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</si>
  <si>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</si>
  <si>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</si>
  <si>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</si>
  <si>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</si>
  <si>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</si>
  <si>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</si>
  <si>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</si>
  <si>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</si>
  <si>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</si>
  <si>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</si>
  <si>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</si>
  <si>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</si>
  <si>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</si>
  <si>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</si>
  <si>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</si>
  <si>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</si>
  <si>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</si>
  <si>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</si>
  <si>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</si>
  <si>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</si>
  <si>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</si>
  <si>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</si>
  <si>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</si>
  <si>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</si>
  <si>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</si>
  <si>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</si>
  <si>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</si>
  <si>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</si>
  <si>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</si>
  <si>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</si>
  <si>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</si>
  <si>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</si>
  <si>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</si>
  <si>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</si>
  <si>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</si>
  <si>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</si>
  <si>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</si>
  <si>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</si>
  <si>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</si>
  <si>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</si>
  <si>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</si>
  <si>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</si>
  <si>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</si>
  <si>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</si>
  <si>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</si>
  <si>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</si>
  <si>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</si>
  <si>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</si>
  <si>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</si>
  <si>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</si>
  <si>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</si>
  <si>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</si>
  <si>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</si>
  <si>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</si>
  <si>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</si>
  <si>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</si>
  <si>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DR.</t>
  </si>
  <si>
    <t>PETER NGUMO</t>
  </si>
  <si>
    <t>2017-09-27 11:37:55</t>
  </si>
  <si>
    <t>CAPREOMYCIN SULPHATE</t>
  </si>
  <si>
    <t>CAPREOMYCIN SULFATE</t>
  </si>
  <si>
    <t>C79-1</t>
  </si>
  <si>
    <t>PETER</t>
  </si>
  <si>
    <t>NGUMO</t>
  </si>
  <si>
    <t>2017-09-27 11:20:00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</si>
</sst>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7" xfId="0" applyFont="1" applyFill="1" applyBorder="1"/>
    <xf numFmtId="0" fontId="23" fillId="2" borderId="7" xfId="0" applyFont="1" applyFill="1" applyBorder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2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2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2" fillId="2" borderId="7" xfId="2" applyFont="1" applyFill="1" applyBorder="1"/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7" zoomScale="60" zoomScaleNormal="100" workbookViewId="0">
      <selection activeCell="B33" sqref="B33"/>
    </sheetView>
  </sheetViews>
  <sheetFormatPr defaultRowHeight="13.5" x14ac:dyDescent="0.25"/>
  <cols>
    <col min="1" max="1" width="27.5703125" style="324" customWidth="1"/>
    <col min="2" max="2" width="20.42578125" style="324" customWidth="1"/>
    <col min="3" max="3" width="31.85546875" style="324" customWidth="1"/>
    <col min="4" max="4" width="25.85546875" style="324" customWidth="1"/>
    <col min="5" max="5" width="25.7109375" style="324" customWidth="1"/>
    <col min="6" max="6" width="23.140625" style="324" customWidth="1"/>
    <col min="7" max="7" width="28.42578125" style="324" customWidth="1"/>
    <col min="8" max="8" width="21.5703125" style="324" customWidth="1"/>
    <col min="9" max="9" width="9.140625" style="324" customWidth="1"/>
    <col min="10" max="16384" width="9.140625" style="362"/>
  </cols>
  <sheetData>
    <row r="14" spans="1:6" ht="15" customHeight="1" x14ac:dyDescent="0.3">
      <c r="A14" s="323"/>
      <c r="C14" s="325"/>
      <c r="F14" s="325"/>
    </row>
    <row r="15" spans="1:6" ht="18.75" customHeight="1" x14ac:dyDescent="0.3">
      <c r="A15" s="326" t="s">
        <v>0</v>
      </c>
      <c r="B15" s="326"/>
      <c r="C15" s="326"/>
      <c r="D15" s="326"/>
      <c r="E15" s="326"/>
    </row>
    <row r="16" spans="1:6" ht="16.5" customHeight="1" x14ac:dyDescent="0.3">
      <c r="A16" s="327" t="s">
        <v>1</v>
      </c>
      <c r="B16" s="328" t="s">
        <v>2</v>
      </c>
    </row>
    <row r="17" spans="1:5" ht="16.5" customHeight="1" x14ac:dyDescent="0.3">
      <c r="A17" s="329" t="s">
        <v>3</v>
      </c>
      <c r="B17" s="329" t="s">
        <v>5</v>
      </c>
      <c r="D17" s="330"/>
      <c r="E17" s="331"/>
    </row>
    <row r="18" spans="1:5" ht="16.5" customHeight="1" x14ac:dyDescent="0.3">
      <c r="A18" s="332" t="s">
        <v>4</v>
      </c>
      <c r="B18" s="333" t="s">
        <v>115</v>
      </c>
      <c r="C18" s="331"/>
      <c r="D18" s="331"/>
      <c r="E18" s="331"/>
    </row>
    <row r="19" spans="1:5" ht="16.5" customHeight="1" x14ac:dyDescent="0.3">
      <c r="A19" s="332" t="s">
        <v>6</v>
      </c>
      <c r="B19" s="334">
        <v>84.4</v>
      </c>
      <c r="C19" s="331"/>
      <c r="D19" s="331"/>
      <c r="E19" s="331"/>
    </row>
    <row r="20" spans="1:5" ht="16.5" customHeight="1" x14ac:dyDescent="0.3">
      <c r="A20" s="329" t="s">
        <v>8</v>
      </c>
      <c r="B20" s="334">
        <v>20.309999999999999</v>
      </c>
      <c r="C20" s="331"/>
      <c r="D20" s="331"/>
      <c r="E20" s="331"/>
    </row>
    <row r="21" spans="1:5" ht="16.5" customHeight="1" x14ac:dyDescent="0.3">
      <c r="A21" s="329" t="s">
        <v>10</v>
      </c>
      <c r="B21" s="335">
        <v>2</v>
      </c>
      <c r="C21" s="331"/>
      <c r="D21" s="331"/>
      <c r="E21" s="331"/>
    </row>
    <row r="22" spans="1:5" ht="15.75" customHeight="1" x14ac:dyDescent="0.25">
      <c r="A22" s="331"/>
      <c r="B22" s="331" t="s">
        <v>120</v>
      </c>
      <c r="C22" s="331"/>
      <c r="D22" s="331"/>
      <c r="E22" s="331"/>
    </row>
    <row r="23" spans="1:5" ht="16.5" customHeight="1" x14ac:dyDescent="0.3">
      <c r="A23" s="336" t="s">
        <v>13</v>
      </c>
      <c r="B23" s="337" t="s">
        <v>14</v>
      </c>
      <c r="C23" s="336" t="s">
        <v>15</v>
      </c>
      <c r="D23" s="336" t="s">
        <v>16</v>
      </c>
      <c r="E23" s="336" t="s">
        <v>17</v>
      </c>
    </row>
    <row r="24" spans="1:5" ht="16.5" customHeight="1" x14ac:dyDescent="0.3">
      <c r="A24" s="338">
        <v>1</v>
      </c>
      <c r="B24" s="339">
        <f>1229177+1446814+21762952+21162635</f>
        <v>45601578</v>
      </c>
      <c r="C24" s="339">
        <v>6500.6</v>
      </c>
      <c r="D24" s="340">
        <v>1.8</v>
      </c>
      <c r="E24" s="341">
        <v>5.2</v>
      </c>
    </row>
    <row r="25" spans="1:5" ht="16.5" customHeight="1" x14ac:dyDescent="0.3">
      <c r="A25" s="338">
        <v>2</v>
      </c>
      <c r="B25" s="339">
        <f>1220981+1437094+21608181+20991319</f>
        <v>45257575</v>
      </c>
      <c r="C25" s="339">
        <v>6495.4</v>
      </c>
      <c r="D25" s="340">
        <v>1.8</v>
      </c>
      <c r="E25" s="340">
        <v>5.2</v>
      </c>
    </row>
    <row r="26" spans="1:5" ht="16.5" customHeight="1" x14ac:dyDescent="0.3">
      <c r="A26" s="338">
        <v>3</v>
      </c>
      <c r="B26" s="339">
        <f>1219812+1437536+21596748+20986486</f>
        <v>45240582</v>
      </c>
      <c r="C26" s="339">
        <v>6539.6</v>
      </c>
      <c r="D26" s="340">
        <v>1.8</v>
      </c>
      <c r="E26" s="340">
        <v>5.2</v>
      </c>
    </row>
    <row r="27" spans="1:5" ht="16.5" customHeight="1" x14ac:dyDescent="0.3">
      <c r="A27" s="338">
        <v>4</v>
      </c>
      <c r="B27" s="339">
        <f>1223089+1442437+21687722+21069217</f>
        <v>45422465</v>
      </c>
      <c r="C27" s="339">
        <v>6525.4</v>
      </c>
      <c r="D27" s="340">
        <v>1.7</v>
      </c>
      <c r="E27" s="340">
        <v>5.2</v>
      </c>
    </row>
    <row r="28" spans="1:5" ht="16.5" customHeight="1" x14ac:dyDescent="0.3">
      <c r="A28" s="338">
        <v>5</v>
      </c>
      <c r="B28" s="339">
        <f>1229055+1447017+21782902+21144406</f>
        <v>45603380</v>
      </c>
      <c r="C28" s="339">
        <v>6546</v>
      </c>
      <c r="D28" s="340">
        <v>1.8</v>
      </c>
      <c r="E28" s="340">
        <v>5.2</v>
      </c>
    </row>
    <row r="29" spans="1:5" ht="16.5" customHeight="1" x14ac:dyDescent="0.3">
      <c r="A29" s="338">
        <v>6</v>
      </c>
      <c r="B29" s="342">
        <f>1231700+1448168+21756275+21132299</f>
        <v>45568442</v>
      </c>
      <c r="C29" s="342">
        <v>6538</v>
      </c>
      <c r="D29" s="343">
        <v>1.7</v>
      </c>
      <c r="E29" s="340">
        <v>5.2</v>
      </c>
    </row>
    <row r="30" spans="1:5" ht="16.5" customHeight="1" x14ac:dyDescent="0.3">
      <c r="A30" s="344" t="s">
        <v>18</v>
      </c>
      <c r="B30" s="345">
        <f>AVERAGE(B24:B29)</f>
        <v>45449003.666666664</v>
      </c>
      <c r="C30" s="346">
        <f>AVERAGE(C24:C29)</f>
        <v>6524.166666666667</v>
      </c>
      <c r="D30" s="347">
        <f>AVERAGE(D24:D29)</f>
        <v>1.7666666666666666</v>
      </c>
      <c r="E30" s="347">
        <f>AVERAGE(E24:E29)</f>
        <v>5.2</v>
      </c>
    </row>
    <row r="31" spans="1:5" ht="16.5" customHeight="1" x14ac:dyDescent="0.3">
      <c r="A31" s="348" t="s">
        <v>19</v>
      </c>
      <c r="B31" s="349">
        <f>(STDEV(B24:B29)/B30)</f>
        <v>3.7101158109369226E-3</v>
      </c>
      <c r="C31" s="350"/>
      <c r="D31" s="350"/>
      <c r="E31" s="351"/>
    </row>
    <row r="32" spans="1:5" s="324" customFormat="1" ht="16.5" customHeight="1" x14ac:dyDescent="0.3">
      <c r="A32" s="352" t="s">
        <v>20</v>
      </c>
      <c r="B32" s="353">
        <f>COUNT(B24:B29)</f>
        <v>6</v>
      </c>
      <c r="C32" s="354"/>
      <c r="D32" s="355"/>
      <c r="E32" s="356"/>
    </row>
    <row r="33" spans="1:5" s="324" customFormat="1" ht="15.75" customHeight="1" x14ac:dyDescent="0.25">
      <c r="A33" s="331"/>
      <c r="B33" s="331"/>
      <c r="C33" s="331"/>
      <c r="D33" s="331"/>
      <c r="E33" s="331"/>
    </row>
    <row r="34" spans="1:5" s="324" customFormat="1" ht="16.5" customHeight="1" x14ac:dyDescent="0.3">
      <c r="A34" s="332" t="s">
        <v>21</v>
      </c>
      <c r="B34" s="357" t="s">
        <v>22</v>
      </c>
      <c r="C34" s="358"/>
      <c r="D34" s="358"/>
      <c r="E34" s="358"/>
    </row>
    <row r="35" spans="1:5" ht="16.5" customHeight="1" x14ac:dyDescent="0.3">
      <c r="A35" s="332"/>
      <c r="B35" s="357" t="s">
        <v>23</v>
      </c>
      <c r="C35" s="358"/>
      <c r="D35" s="358"/>
      <c r="E35" s="358"/>
    </row>
    <row r="36" spans="1:5" ht="16.5" customHeight="1" x14ac:dyDescent="0.3">
      <c r="A36" s="332"/>
      <c r="B36" s="357" t="s">
        <v>24</v>
      </c>
      <c r="C36" s="358"/>
      <c r="D36" s="358"/>
      <c r="E36" s="358"/>
    </row>
    <row r="37" spans="1:5" ht="15.75" customHeight="1" x14ac:dyDescent="0.25">
      <c r="A37" s="331"/>
      <c r="B37" s="331"/>
      <c r="C37" s="331"/>
      <c r="D37" s="331"/>
      <c r="E37" s="331"/>
    </row>
    <row r="38" spans="1:5" ht="16.5" customHeight="1" x14ac:dyDescent="0.3">
      <c r="A38" s="327" t="s">
        <v>1</v>
      </c>
      <c r="B38" s="328" t="s">
        <v>25</v>
      </c>
    </row>
    <row r="39" spans="1:5" ht="16.5" customHeight="1" x14ac:dyDescent="0.3">
      <c r="A39" s="332" t="s">
        <v>4</v>
      </c>
      <c r="B39" s="329"/>
      <c r="C39" s="331"/>
      <c r="D39" s="331"/>
      <c r="E39" s="331"/>
    </row>
    <row r="40" spans="1:5" ht="16.5" customHeight="1" x14ac:dyDescent="0.3">
      <c r="A40" s="332" t="s">
        <v>6</v>
      </c>
      <c r="B40" s="334"/>
      <c r="C40" s="331"/>
      <c r="D40" s="331"/>
      <c r="E40" s="331"/>
    </row>
    <row r="41" spans="1:5" ht="16.5" customHeight="1" x14ac:dyDescent="0.3">
      <c r="A41" s="329" t="s">
        <v>8</v>
      </c>
      <c r="B41" s="334"/>
      <c r="C41" s="331"/>
      <c r="D41" s="331"/>
      <c r="E41" s="331"/>
    </row>
    <row r="42" spans="1:5" ht="16.5" customHeight="1" x14ac:dyDescent="0.3">
      <c r="A42" s="329" t="s">
        <v>10</v>
      </c>
      <c r="B42" s="335"/>
      <c r="C42" s="331"/>
      <c r="D42" s="331"/>
      <c r="E42" s="331"/>
    </row>
    <row r="43" spans="1:5" ht="15.75" customHeight="1" x14ac:dyDescent="0.25">
      <c r="A43" s="331"/>
      <c r="B43" s="331"/>
      <c r="C43" s="331"/>
      <c r="D43" s="331"/>
      <c r="E43" s="331"/>
    </row>
    <row r="44" spans="1:5" ht="16.5" customHeight="1" x14ac:dyDescent="0.3">
      <c r="A44" s="336" t="s">
        <v>13</v>
      </c>
      <c r="B44" s="337" t="s">
        <v>14</v>
      </c>
      <c r="C44" s="336" t="s">
        <v>15</v>
      </c>
      <c r="D44" s="336" t="s">
        <v>16</v>
      </c>
      <c r="E44" s="336" t="s">
        <v>17</v>
      </c>
    </row>
    <row r="45" spans="1:5" ht="16.5" customHeight="1" x14ac:dyDescent="0.3">
      <c r="A45" s="338">
        <v>1</v>
      </c>
      <c r="B45" s="339"/>
      <c r="C45" s="339"/>
      <c r="D45" s="340"/>
      <c r="E45" s="341"/>
    </row>
    <row r="46" spans="1:5" ht="16.5" customHeight="1" x14ac:dyDescent="0.3">
      <c r="A46" s="338">
        <v>2</v>
      </c>
      <c r="B46" s="339"/>
      <c r="C46" s="339"/>
      <c r="D46" s="340"/>
      <c r="E46" s="340"/>
    </row>
    <row r="47" spans="1:5" ht="16.5" customHeight="1" x14ac:dyDescent="0.3">
      <c r="A47" s="338">
        <v>3</v>
      </c>
      <c r="B47" s="339"/>
      <c r="C47" s="339"/>
      <c r="D47" s="340"/>
      <c r="E47" s="340"/>
    </row>
    <row r="48" spans="1:5" ht="16.5" customHeight="1" x14ac:dyDescent="0.3">
      <c r="A48" s="338">
        <v>4</v>
      </c>
      <c r="B48" s="339"/>
      <c r="C48" s="339"/>
      <c r="D48" s="340"/>
      <c r="E48" s="340"/>
    </row>
    <row r="49" spans="1:7" ht="16.5" customHeight="1" x14ac:dyDescent="0.3">
      <c r="A49" s="338">
        <v>5</v>
      </c>
      <c r="B49" s="339"/>
      <c r="C49" s="339"/>
      <c r="D49" s="340"/>
      <c r="E49" s="340"/>
    </row>
    <row r="50" spans="1:7" ht="16.5" customHeight="1" x14ac:dyDescent="0.3">
      <c r="A50" s="338">
        <v>6</v>
      </c>
      <c r="B50" s="342"/>
      <c r="C50" s="342"/>
      <c r="D50" s="343"/>
      <c r="E50" s="343"/>
    </row>
    <row r="51" spans="1:7" ht="16.5" customHeight="1" x14ac:dyDescent="0.3">
      <c r="A51" s="344" t="s">
        <v>18</v>
      </c>
      <c r="B51" s="345" t="e">
        <f>AVERAGE(B45:B50)</f>
        <v>#DIV/0!</v>
      </c>
      <c r="C51" s="346" t="e">
        <f>AVERAGE(C45:C50)</f>
        <v>#DIV/0!</v>
      </c>
      <c r="D51" s="347" t="e">
        <f>AVERAGE(D45:D50)</f>
        <v>#DIV/0!</v>
      </c>
      <c r="E51" s="347" t="e">
        <f>AVERAGE(E45:E50)</f>
        <v>#DIV/0!</v>
      </c>
    </row>
    <row r="52" spans="1:7" ht="16.5" customHeight="1" x14ac:dyDescent="0.3">
      <c r="A52" s="348" t="s">
        <v>19</v>
      </c>
      <c r="B52" s="349" t="e">
        <f>(STDEV(B45:B50)/B51)</f>
        <v>#DIV/0!</v>
      </c>
      <c r="C52" s="350"/>
      <c r="D52" s="350"/>
      <c r="E52" s="351"/>
    </row>
    <row r="53" spans="1:7" s="324" customFormat="1" ht="16.5" customHeight="1" x14ac:dyDescent="0.3">
      <c r="A53" s="352" t="s">
        <v>20</v>
      </c>
      <c r="B53" s="353">
        <f>COUNT(B45:B50)</f>
        <v>0</v>
      </c>
      <c r="C53" s="354"/>
      <c r="D53" s="355"/>
      <c r="E53" s="356"/>
    </row>
    <row r="54" spans="1:7" s="324" customFormat="1" ht="15.75" customHeight="1" x14ac:dyDescent="0.25">
      <c r="A54" s="331"/>
      <c r="B54" s="331"/>
      <c r="C54" s="331"/>
      <c r="D54" s="331"/>
      <c r="E54" s="331"/>
    </row>
    <row r="55" spans="1:7" s="324" customFormat="1" ht="16.5" customHeight="1" x14ac:dyDescent="0.3">
      <c r="A55" s="332" t="s">
        <v>21</v>
      </c>
      <c r="B55" s="357" t="s">
        <v>22</v>
      </c>
      <c r="C55" s="358"/>
      <c r="D55" s="358"/>
      <c r="E55" s="358"/>
    </row>
    <row r="56" spans="1:7" ht="16.5" customHeight="1" x14ac:dyDescent="0.3">
      <c r="A56" s="332"/>
      <c r="B56" s="357" t="s">
        <v>23</v>
      </c>
      <c r="C56" s="358"/>
      <c r="D56" s="358"/>
      <c r="E56" s="358"/>
    </row>
    <row r="57" spans="1:7" ht="16.5" customHeight="1" x14ac:dyDescent="0.3">
      <c r="A57" s="332"/>
      <c r="B57" s="357" t="s">
        <v>24</v>
      </c>
      <c r="C57" s="358"/>
      <c r="D57" s="358"/>
      <c r="E57" s="358"/>
    </row>
    <row r="58" spans="1:7" ht="14.25" customHeight="1" thickBot="1" x14ac:dyDescent="0.3">
      <c r="A58" s="359"/>
      <c r="B58" s="360"/>
      <c r="D58" s="361"/>
      <c r="F58" s="362"/>
      <c r="G58" s="362"/>
    </row>
    <row r="59" spans="1:7" ht="15" customHeight="1" x14ac:dyDescent="0.3">
      <c r="B59" s="363" t="s">
        <v>26</v>
      </c>
      <c r="C59" s="363"/>
      <c r="E59" s="364" t="s">
        <v>27</v>
      </c>
      <c r="F59" s="365"/>
      <c r="G59" s="364" t="s">
        <v>28</v>
      </c>
    </row>
    <row r="60" spans="1:7" ht="15" customHeight="1" x14ac:dyDescent="0.3">
      <c r="A60" s="366" t="s">
        <v>29</v>
      </c>
      <c r="B60" s="367" t="s">
        <v>112</v>
      </c>
      <c r="C60" s="367" t="s">
        <v>113</v>
      </c>
      <c r="E60" s="368"/>
      <c r="G60" s="368"/>
    </row>
    <row r="61" spans="1:7" ht="15" customHeight="1" x14ac:dyDescent="0.3">
      <c r="A61" s="366" t="s">
        <v>30</v>
      </c>
      <c r="B61" s="369"/>
      <c r="C61" s="369"/>
      <c r="E61" s="369"/>
      <c r="G61" s="37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" workbookViewId="0">
      <selection activeCell="C5" sqref="C5"/>
    </sheetView>
  </sheetViews>
  <sheetFormatPr defaultRowHeight="13.5" x14ac:dyDescent="0.25"/>
  <cols>
    <col min="1" max="1" width="27.5703125" style="239" customWidth="1"/>
    <col min="2" max="2" width="20.42578125" style="239" customWidth="1"/>
    <col min="3" max="3" width="31.85546875" style="239" customWidth="1"/>
    <col min="4" max="4" width="25.85546875" style="239" customWidth="1"/>
    <col min="5" max="5" width="25.7109375" style="239" customWidth="1"/>
    <col min="6" max="6" width="23.140625" style="239" customWidth="1"/>
    <col min="7" max="7" width="28.42578125" style="239" customWidth="1"/>
    <col min="8" max="8" width="21.5703125" style="239" customWidth="1"/>
    <col min="9" max="9" width="9.140625" style="239" customWidth="1"/>
    <col min="10" max="16384" width="9.140625" style="275"/>
  </cols>
  <sheetData>
    <row r="14" spans="1:6" ht="15" customHeight="1" x14ac:dyDescent="0.3">
      <c r="A14" s="238"/>
      <c r="C14" s="240"/>
      <c r="F14" s="240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241" t="s">
        <v>1</v>
      </c>
      <c r="B16" s="242" t="s">
        <v>2</v>
      </c>
    </row>
    <row r="17" spans="1:5" ht="16.5" customHeight="1" x14ac:dyDescent="0.3">
      <c r="A17" s="243" t="s">
        <v>3</v>
      </c>
      <c r="B17" s="243" t="s">
        <v>5</v>
      </c>
      <c r="D17" s="244"/>
      <c r="E17" s="245"/>
    </row>
    <row r="18" spans="1:5" ht="16.5" customHeight="1" x14ac:dyDescent="0.3">
      <c r="A18" s="246" t="s">
        <v>4</v>
      </c>
      <c r="B18" s="243" t="s">
        <v>115</v>
      </c>
      <c r="C18" s="245"/>
      <c r="D18" s="245"/>
      <c r="E18" s="245"/>
    </row>
    <row r="19" spans="1:5" ht="16.5" customHeight="1" x14ac:dyDescent="0.3">
      <c r="A19" s="246" t="s">
        <v>6</v>
      </c>
      <c r="B19" s="247">
        <v>84.4</v>
      </c>
      <c r="C19" s="245"/>
      <c r="D19" s="245"/>
      <c r="E19" s="245"/>
    </row>
    <row r="20" spans="1:5" ht="16.5" customHeight="1" x14ac:dyDescent="0.3">
      <c r="A20" s="243" t="s">
        <v>8</v>
      </c>
      <c r="B20" s="247">
        <v>20.309999999999999</v>
      </c>
      <c r="C20" s="245"/>
      <c r="D20" s="245"/>
      <c r="E20" s="245"/>
    </row>
    <row r="21" spans="1:5" ht="16.5" customHeight="1" x14ac:dyDescent="0.3">
      <c r="A21" s="243" t="s">
        <v>10</v>
      </c>
      <c r="B21" s="248">
        <v>2</v>
      </c>
      <c r="C21" s="245"/>
      <c r="D21" s="245"/>
      <c r="E21" s="245"/>
    </row>
    <row r="22" spans="1:5" ht="15.75" customHeight="1" x14ac:dyDescent="0.25">
      <c r="A22" s="245"/>
      <c r="B22" s="245" t="s">
        <v>114</v>
      </c>
      <c r="C22" s="245"/>
      <c r="D22" s="245"/>
      <c r="E22" s="245"/>
    </row>
    <row r="23" spans="1:5" ht="16.5" customHeight="1" x14ac:dyDescent="0.3">
      <c r="A23" s="249" t="s">
        <v>13</v>
      </c>
      <c r="B23" s="250" t="s">
        <v>14</v>
      </c>
      <c r="C23" s="249" t="s">
        <v>15</v>
      </c>
      <c r="D23" s="249" t="s">
        <v>16</v>
      </c>
      <c r="E23" s="249" t="s">
        <v>17</v>
      </c>
    </row>
    <row r="24" spans="1:5" ht="16.5" customHeight="1" x14ac:dyDescent="0.3">
      <c r="A24" s="251">
        <v>1</v>
      </c>
      <c r="B24" s="252">
        <v>21762952</v>
      </c>
      <c r="C24" s="252">
        <v>6500.6</v>
      </c>
      <c r="D24" s="253">
        <v>1.8</v>
      </c>
      <c r="E24" s="254">
        <v>5.2</v>
      </c>
    </row>
    <row r="25" spans="1:5" ht="16.5" customHeight="1" x14ac:dyDescent="0.3">
      <c r="A25" s="251">
        <v>2</v>
      </c>
      <c r="B25" s="252">
        <v>21608181</v>
      </c>
      <c r="C25" s="252">
        <v>6495.4</v>
      </c>
      <c r="D25" s="253">
        <v>1.8</v>
      </c>
      <c r="E25" s="253">
        <v>5.2</v>
      </c>
    </row>
    <row r="26" spans="1:5" ht="16.5" customHeight="1" x14ac:dyDescent="0.3">
      <c r="A26" s="251">
        <v>3</v>
      </c>
      <c r="B26" s="252">
        <v>21596748</v>
      </c>
      <c r="C26" s="252">
        <v>6539.6</v>
      </c>
      <c r="D26" s="253">
        <v>1.8</v>
      </c>
      <c r="E26" s="253">
        <v>5.2</v>
      </c>
    </row>
    <row r="27" spans="1:5" ht="16.5" customHeight="1" x14ac:dyDescent="0.3">
      <c r="A27" s="251">
        <v>4</v>
      </c>
      <c r="B27" s="252">
        <v>21687722</v>
      </c>
      <c r="C27" s="252">
        <v>6525.4</v>
      </c>
      <c r="D27" s="253">
        <v>1.7</v>
      </c>
      <c r="E27" s="253">
        <v>5.2</v>
      </c>
    </row>
    <row r="28" spans="1:5" ht="16.5" customHeight="1" x14ac:dyDescent="0.3">
      <c r="A28" s="251">
        <v>5</v>
      </c>
      <c r="B28" s="252">
        <v>21782902</v>
      </c>
      <c r="C28" s="252">
        <v>6546</v>
      </c>
      <c r="D28" s="253">
        <v>1.8</v>
      </c>
      <c r="E28" s="253">
        <v>5.2</v>
      </c>
    </row>
    <row r="29" spans="1:5" ht="16.5" customHeight="1" x14ac:dyDescent="0.3">
      <c r="A29" s="251">
        <v>6</v>
      </c>
      <c r="B29" s="255">
        <v>21756275</v>
      </c>
      <c r="C29" s="255">
        <v>6538</v>
      </c>
      <c r="D29" s="256">
        <v>1.7</v>
      </c>
      <c r="E29" s="256">
        <v>5.2</v>
      </c>
    </row>
    <row r="30" spans="1:5" ht="16.5" customHeight="1" x14ac:dyDescent="0.3">
      <c r="A30" s="257" t="s">
        <v>18</v>
      </c>
      <c r="B30" s="258">
        <f>AVERAGE(B24:B29)</f>
        <v>21699130</v>
      </c>
      <c r="C30" s="259">
        <f>AVERAGE(C24:C29)</f>
        <v>6524.166666666667</v>
      </c>
      <c r="D30" s="260">
        <f>AVERAGE(D24:D29)</f>
        <v>1.7666666666666666</v>
      </c>
      <c r="E30" s="260">
        <f>AVERAGE(E24:E29)</f>
        <v>5.2</v>
      </c>
    </row>
    <row r="31" spans="1:5" ht="16.5" customHeight="1" x14ac:dyDescent="0.3">
      <c r="A31" s="261" t="s">
        <v>19</v>
      </c>
      <c r="B31" s="262">
        <f>(STDEV(B24:B29)/B30)</f>
        <v>3.7575636285204282E-3</v>
      </c>
      <c r="C31" s="263"/>
      <c r="D31" s="263"/>
      <c r="E31" s="264"/>
    </row>
    <row r="32" spans="1:5" s="239" customFormat="1" ht="16.5" customHeight="1" x14ac:dyDescent="0.3">
      <c r="A32" s="265" t="s">
        <v>20</v>
      </c>
      <c r="B32" s="266">
        <f>COUNT(B24:B29)</f>
        <v>6</v>
      </c>
      <c r="C32" s="267"/>
      <c r="D32" s="268"/>
      <c r="E32" s="269"/>
    </row>
    <row r="33" spans="1:5" s="239" customFormat="1" ht="15.75" customHeight="1" x14ac:dyDescent="0.25">
      <c r="A33" s="245"/>
      <c r="B33" s="245"/>
      <c r="C33" s="245"/>
      <c r="D33" s="245"/>
      <c r="E33" s="245"/>
    </row>
    <row r="34" spans="1:5" s="239" customFormat="1" ht="16.5" customHeight="1" x14ac:dyDescent="0.3">
      <c r="A34" s="246" t="s">
        <v>21</v>
      </c>
      <c r="B34" s="270" t="s">
        <v>22</v>
      </c>
      <c r="C34" s="271"/>
      <c r="D34" s="271"/>
      <c r="E34" s="271"/>
    </row>
    <row r="35" spans="1:5" ht="16.5" customHeight="1" x14ac:dyDescent="0.3">
      <c r="A35" s="246"/>
      <c r="B35" s="270" t="s">
        <v>23</v>
      </c>
      <c r="C35" s="271"/>
      <c r="D35" s="271"/>
      <c r="E35" s="271"/>
    </row>
    <row r="36" spans="1:5" ht="16.5" customHeight="1" x14ac:dyDescent="0.3">
      <c r="A36" s="246"/>
      <c r="B36" s="270" t="s">
        <v>24</v>
      </c>
      <c r="C36" s="271"/>
      <c r="D36" s="271"/>
      <c r="E36" s="271"/>
    </row>
    <row r="37" spans="1:5" ht="15.75" customHeight="1" x14ac:dyDescent="0.25">
      <c r="A37" s="245"/>
      <c r="B37" s="245"/>
      <c r="C37" s="245"/>
      <c r="D37" s="245"/>
      <c r="E37" s="245"/>
    </row>
    <row r="38" spans="1:5" ht="16.5" customHeight="1" x14ac:dyDescent="0.3">
      <c r="A38" s="241" t="s">
        <v>1</v>
      </c>
      <c r="B38" s="242" t="s">
        <v>25</v>
      </c>
    </row>
    <row r="39" spans="1:5" ht="16.5" customHeight="1" x14ac:dyDescent="0.3">
      <c r="A39" s="246" t="s">
        <v>4</v>
      </c>
      <c r="B39" s="243"/>
      <c r="C39" s="245"/>
      <c r="D39" s="245"/>
      <c r="E39" s="245"/>
    </row>
    <row r="40" spans="1:5" ht="16.5" customHeight="1" x14ac:dyDescent="0.3">
      <c r="A40" s="246" t="s">
        <v>6</v>
      </c>
      <c r="B40" s="247"/>
      <c r="C40" s="245"/>
      <c r="D40" s="245"/>
      <c r="E40" s="245"/>
    </row>
    <row r="41" spans="1:5" ht="16.5" customHeight="1" x14ac:dyDescent="0.3">
      <c r="A41" s="243" t="s">
        <v>8</v>
      </c>
      <c r="B41" s="247"/>
      <c r="C41" s="245"/>
      <c r="D41" s="245"/>
      <c r="E41" s="245"/>
    </row>
    <row r="42" spans="1:5" ht="16.5" customHeight="1" x14ac:dyDescent="0.3">
      <c r="A42" s="243" t="s">
        <v>10</v>
      </c>
      <c r="B42" s="248"/>
      <c r="C42" s="245"/>
      <c r="D42" s="245"/>
      <c r="E42" s="245"/>
    </row>
    <row r="43" spans="1:5" ht="15.75" customHeight="1" x14ac:dyDescent="0.25">
      <c r="A43" s="245"/>
      <c r="B43" s="245"/>
      <c r="C43" s="245"/>
      <c r="D43" s="245"/>
      <c r="E43" s="245"/>
    </row>
    <row r="44" spans="1:5" ht="16.5" customHeight="1" x14ac:dyDescent="0.3">
      <c r="A44" s="249" t="s">
        <v>13</v>
      </c>
      <c r="B44" s="250" t="s">
        <v>14</v>
      </c>
      <c r="C44" s="249" t="s">
        <v>15</v>
      </c>
      <c r="D44" s="249" t="s">
        <v>16</v>
      </c>
      <c r="E44" s="249" t="s">
        <v>17</v>
      </c>
    </row>
    <row r="45" spans="1:5" ht="16.5" customHeight="1" x14ac:dyDescent="0.3">
      <c r="A45" s="251">
        <v>1</v>
      </c>
      <c r="B45" s="252"/>
      <c r="C45" s="252"/>
      <c r="D45" s="253"/>
      <c r="E45" s="254"/>
    </row>
    <row r="46" spans="1:5" ht="16.5" customHeight="1" x14ac:dyDescent="0.3">
      <c r="A46" s="251">
        <v>2</v>
      </c>
      <c r="B46" s="252"/>
      <c r="C46" s="252"/>
      <c r="D46" s="253"/>
      <c r="E46" s="253"/>
    </row>
    <row r="47" spans="1:5" ht="16.5" customHeight="1" x14ac:dyDescent="0.3">
      <c r="A47" s="251">
        <v>3</v>
      </c>
      <c r="B47" s="252"/>
      <c r="C47" s="252"/>
      <c r="D47" s="253"/>
      <c r="E47" s="253"/>
    </row>
    <row r="48" spans="1:5" ht="16.5" customHeight="1" x14ac:dyDescent="0.3">
      <c r="A48" s="251">
        <v>4</v>
      </c>
      <c r="B48" s="252"/>
      <c r="C48" s="252"/>
      <c r="D48" s="253"/>
      <c r="E48" s="253"/>
    </row>
    <row r="49" spans="1:7" ht="16.5" customHeight="1" x14ac:dyDescent="0.3">
      <c r="A49" s="251">
        <v>5</v>
      </c>
      <c r="B49" s="252"/>
      <c r="C49" s="252"/>
      <c r="D49" s="253"/>
      <c r="E49" s="253"/>
    </row>
    <row r="50" spans="1:7" ht="16.5" customHeight="1" x14ac:dyDescent="0.3">
      <c r="A50" s="251">
        <v>6</v>
      </c>
      <c r="B50" s="255"/>
      <c r="C50" s="255"/>
      <c r="D50" s="256"/>
      <c r="E50" s="256"/>
    </row>
    <row r="51" spans="1:7" ht="16.5" customHeight="1" x14ac:dyDescent="0.3">
      <c r="A51" s="257" t="s">
        <v>18</v>
      </c>
      <c r="B51" s="258" t="e">
        <f>AVERAGE(B45:B50)</f>
        <v>#DIV/0!</v>
      </c>
      <c r="C51" s="259" t="e">
        <f>AVERAGE(C45:C50)</f>
        <v>#DIV/0!</v>
      </c>
      <c r="D51" s="260" t="e">
        <f>AVERAGE(D45:D50)</f>
        <v>#DIV/0!</v>
      </c>
      <c r="E51" s="260" t="e">
        <f>AVERAGE(E45:E50)</f>
        <v>#DIV/0!</v>
      </c>
    </row>
    <row r="52" spans="1:7" ht="16.5" customHeight="1" x14ac:dyDescent="0.3">
      <c r="A52" s="261" t="s">
        <v>19</v>
      </c>
      <c r="B52" s="262" t="e">
        <f>(STDEV(B45:B50)/B51)</f>
        <v>#DIV/0!</v>
      </c>
      <c r="C52" s="263"/>
      <c r="D52" s="263"/>
      <c r="E52" s="264"/>
    </row>
    <row r="53" spans="1:7" s="239" customFormat="1" ht="16.5" customHeight="1" x14ac:dyDescent="0.3">
      <c r="A53" s="265" t="s">
        <v>20</v>
      </c>
      <c r="B53" s="266">
        <f>COUNT(B45:B50)</f>
        <v>0</v>
      </c>
      <c r="C53" s="267"/>
      <c r="D53" s="268"/>
      <c r="E53" s="269"/>
    </row>
    <row r="54" spans="1:7" s="239" customFormat="1" ht="15.75" customHeight="1" x14ac:dyDescent="0.25">
      <c r="A54" s="245"/>
      <c r="B54" s="245"/>
      <c r="C54" s="245"/>
      <c r="D54" s="245"/>
      <c r="E54" s="245"/>
    </row>
    <row r="55" spans="1:7" s="239" customFormat="1" ht="16.5" customHeight="1" x14ac:dyDescent="0.3">
      <c r="A55" s="246" t="s">
        <v>21</v>
      </c>
      <c r="B55" s="270" t="s">
        <v>22</v>
      </c>
      <c r="C55" s="271"/>
      <c r="D55" s="271"/>
      <c r="E55" s="271"/>
    </row>
    <row r="56" spans="1:7" ht="16.5" customHeight="1" x14ac:dyDescent="0.3">
      <c r="A56" s="246"/>
      <c r="B56" s="270" t="s">
        <v>23</v>
      </c>
      <c r="C56" s="271"/>
      <c r="D56" s="271"/>
      <c r="E56" s="271"/>
    </row>
    <row r="57" spans="1:7" ht="16.5" customHeight="1" x14ac:dyDescent="0.3">
      <c r="A57" s="246"/>
      <c r="B57" s="270" t="s">
        <v>24</v>
      </c>
      <c r="C57" s="271"/>
      <c r="D57" s="271"/>
      <c r="E57" s="271"/>
    </row>
    <row r="58" spans="1:7" ht="14.25" customHeight="1" thickBot="1" x14ac:dyDescent="0.3">
      <c r="A58" s="272"/>
      <c r="B58" s="273"/>
      <c r="D58" s="274"/>
      <c r="F58" s="275"/>
      <c r="G58" s="275"/>
    </row>
    <row r="59" spans="1:7" ht="15" customHeight="1" x14ac:dyDescent="0.3">
      <c r="B59" s="284" t="s">
        <v>26</v>
      </c>
      <c r="C59" s="284"/>
      <c r="E59" s="276" t="s">
        <v>27</v>
      </c>
      <c r="F59" s="277"/>
      <c r="G59" s="276" t="s">
        <v>28</v>
      </c>
    </row>
    <row r="60" spans="1:7" ht="15" customHeight="1" x14ac:dyDescent="0.3">
      <c r="A60" s="278" t="s">
        <v>29</v>
      </c>
      <c r="B60" s="279" t="s">
        <v>112</v>
      </c>
      <c r="C60" s="279" t="s">
        <v>113</v>
      </c>
      <c r="E60" s="280"/>
      <c r="G60" s="280"/>
    </row>
    <row r="61" spans="1:7" ht="15" customHeight="1" x14ac:dyDescent="0.3">
      <c r="A61" s="278" t="s">
        <v>30</v>
      </c>
      <c r="B61" s="281"/>
      <c r="C61" s="281"/>
      <c r="E61" s="281"/>
      <c r="G61" s="28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115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20.309999999999999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21162635</v>
      </c>
      <c r="C24" s="18">
        <v>5894.8</v>
      </c>
      <c r="D24" s="19">
        <v>1.7</v>
      </c>
      <c r="E24" s="20">
        <v>5.7</v>
      </c>
    </row>
    <row r="25" spans="1:6" ht="16.5" customHeight="1" x14ac:dyDescent="0.3">
      <c r="A25" s="17">
        <v>2</v>
      </c>
      <c r="B25" s="18">
        <v>20991319</v>
      </c>
      <c r="C25" s="18">
        <v>5898</v>
      </c>
      <c r="D25" s="19">
        <v>1.7</v>
      </c>
      <c r="E25" s="19">
        <v>5.7</v>
      </c>
    </row>
    <row r="26" spans="1:6" ht="16.5" customHeight="1" x14ac:dyDescent="0.3">
      <c r="A26" s="17">
        <v>3</v>
      </c>
      <c r="B26" s="18">
        <v>20986486</v>
      </c>
      <c r="C26" s="18">
        <v>5925.5</v>
      </c>
      <c r="D26" s="19">
        <v>1.7</v>
      </c>
      <c r="E26" s="19">
        <v>5.7</v>
      </c>
    </row>
    <row r="27" spans="1:6" ht="16.5" customHeight="1" x14ac:dyDescent="0.3">
      <c r="A27" s="17">
        <v>4</v>
      </c>
      <c r="B27" s="18">
        <v>21069217</v>
      </c>
      <c r="C27" s="18">
        <v>5953.2</v>
      </c>
      <c r="D27" s="19">
        <v>1.8</v>
      </c>
      <c r="E27" s="19">
        <v>5.7</v>
      </c>
    </row>
    <row r="28" spans="1:6" ht="16.5" customHeight="1" x14ac:dyDescent="0.3">
      <c r="A28" s="17">
        <v>5</v>
      </c>
      <c r="B28" s="18">
        <v>21144406</v>
      </c>
      <c r="C28" s="18">
        <v>5929.4</v>
      </c>
      <c r="D28" s="19">
        <v>1.7</v>
      </c>
      <c r="E28" s="19">
        <v>5.7</v>
      </c>
    </row>
    <row r="29" spans="1:6" ht="16.5" customHeight="1" x14ac:dyDescent="0.3">
      <c r="A29" s="17">
        <v>6</v>
      </c>
      <c r="B29" s="21">
        <v>21132299</v>
      </c>
      <c r="C29" s="21">
        <v>5959</v>
      </c>
      <c r="D29" s="22">
        <v>1.8</v>
      </c>
      <c r="E29" s="22">
        <v>5.7</v>
      </c>
    </row>
    <row r="30" spans="1:6" ht="16.5" customHeight="1" x14ac:dyDescent="0.3">
      <c r="A30" s="23" t="s">
        <v>18</v>
      </c>
      <c r="B30" s="24">
        <f>AVERAGE(B24:B29)</f>
        <v>21081060.333333332</v>
      </c>
      <c r="C30" s="25">
        <f>AVERAGE(C24:C29)</f>
        <v>5926.6500000000005</v>
      </c>
      <c r="D30" s="26">
        <f>AVERAGE(D24:D29)</f>
        <v>1.7333333333333334</v>
      </c>
      <c r="E30" s="26">
        <f>AVERAGE(E24:E29)</f>
        <v>5.7</v>
      </c>
    </row>
    <row r="31" spans="1:6" ht="16.5" customHeight="1" x14ac:dyDescent="0.3">
      <c r="A31" s="27" t="s">
        <v>19</v>
      </c>
      <c r="B31" s="28">
        <f>(STDEV(B24:B29)/B30)</f>
        <v>3.7006468089329047E-3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236" t="s">
        <v>112</v>
      </c>
      <c r="C60" s="236" t="s">
        <v>113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42" workbookViewId="0">
      <selection activeCell="A10" sqref="A10:G52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89" t="s">
        <v>31</v>
      </c>
      <c r="B8" s="289"/>
      <c r="C8" s="289"/>
      <c r="D8" s="289"/>
      <c r="E8" s="289"/>
      <c r="F8" s="289"/>
      <c r="G8" s="28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90" t="s">
        <v>32</v>
      </c>
      <c r="B10" s="290"/>
      <c r="C10" s="290"/>
      <c r="D10" s="290"/>
      <c r="E10" s="290"/>
      <c r="F10" s="290"/>
      <c r="G10" s="29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87" t="s">
        <v>33</v>
      </c>
      <c r="B11" s="287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87" t="s">
        <v>34</v>
      </c>
      <c r="B12" s="287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87" t="s">
        <v>35</v>
      </c>
      <c r="B13" s="287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87" t="s">
        <v>36</v>
      </c>
      <c r="B14" s="287"/>
      <c r="C14" s="288" t="s">
        <v>11</v>
      </c>
      <c r="D14" s="288"/>
      <c r="E14" s="288"/>
      <c r="F14" s="288"/>
      <c r="G14" s="28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87" t="s">
        <v>37</v>
      </c>
      <c r="B15" s="287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87" t="s">
        <v>38</v>
      </c>
      <c r="B16" s="287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91" t="s">
        <v>1</v>
      </c>
      <c r="B18" s="291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13259.38</v>
      </c>
      <c r="C21" s="83">
        <v>12097.72</v>
      </c>
      <c r="D21" s="84">
        <f t="shared" ref="D21:D40" si="0">B21-C21</f>
        <v>1161.6599999999999</v>
      </c>
      <c r="E21" s="85">
        <f t="shared" ref="E21:E40" si="1">(D21-$D$43)/$D$43</f>
        <v>-1.3992753866139436E-2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13005.7</v>
      </c>
      <c r="C22" s="88">
        <v>11830.04</v>
      </c>
      <c r="D22" s="89">
        <f t="shared" si="0"/>
        <v>1175.6599999999999</v>
      </c>
      <c r="E22" s="85">
        <f t="shared" si="1"/>
        <v>-2.1096715134079577E-3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13049.54</v>
      </c>
      <c r="C23" s="88">
        <v>11830.03</v>
      </c>
      <c r="D23" s="89">
        <f t="shared" si="0"/>
        <v>1219.5100000000002</v>
      </c>
      <c r="E23" s="85">
        <f t="shared" si="1"/>
        <v>3.5109839998540587E-2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13266.73</v>
      </c>
      <c r="C24" s="88">
        <v>12091.73</v>
      </c>
      <c r="D24" s="89">
        <f t="shared" si="0"/>
        <v>1175</v>
      </c>
      <c r="E24" s="85">
        <f t="shared" si="1"/>
        <v>-2.6698739671794612E-3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12963.97</v>
      </c>
      <c r="C25" s="88">
        <v>11784.88</v>
      </c>
      <c r="D25" s="89">
        <f t="shared" si="0"/>
        <v>1179.0900000000001</v>
      </c>
      <c r="E25" s="85">
        <f t="shared" si="1"/>
        <v>8.0168366301150147E-4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13203.03</v>
      </c>
      <c r="C26" s="88">
        <v>12021.68</v>
      </c>
      <c r="D26" s="89">
        <f t="shared" si="0"/>
        <v>1181.3500000000004</v>
      </c>
      <c r="E26" s="85">
        <f t="shared" si="1"/>
        <v>2.719952671381197E-3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13102.57</v>
      </c>
      <c r="C27" s="88">
        <v>11922.02</v>
      </c>
      <c r="D27" s="89">
        <f t="shared" si="0"/>
        <v>1180.5499999999993</v>
      </c>
      <c r="E27" s="85">
        <f t="shared" si="1"/>
        <v>2.0409193940813287E-3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13017.48</v>
      </c>
      <c r="C28" s="88">
        <v>11847.01</v>
      </c>
      <c r="D28" s="89">
        <f t="shared" si="0"/>
        <v>1170.4699999999993</v>
      </c>
      <c r="E28" s="85">
        <f t="shared" si="1"/>
        <v>-6.5148998998852741E-3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13113.56</v>
      </c>
      <c r="C29" s="88">
        <v>11944.53</v>
      </c>
      <c r="D29" s="89">
        <f t="shared" si="0"/>
        <v>1169.0299999999988</v>
      </c>
      <c r="E29" s="85">
        <f t="shared" si="1"/>
        <v>-7.7371597990238015E-3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13063.22</v>
      </c>
      <c r="C30" s="88">
        <v>11881.8</v>
      </c>
      <c r="D30" s="89">
        <f t="shared" si="0"/>
        <v>1181.42</v>
      </c>
      <c r="E30" s="85">
        <f t="shared" si="1"/>
        <v>2.779368083144607E-3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13162.58</v>
      </c>
      <c r="C31" s="88">
        <v>11986.81</v>
      </c>
      <c r="D31" s="89">
        <f t="shared" si="0"/>
        <v>1175.7700000000004</v>
      </c>
      <c r="E31" s="85">
        <f t="shared" si="1"/>
        <v>-2.0163044377788592E-3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13069.78</v>
      </c>
      <c r="C32" s="88">
        <v>11895.42</v>
      </c>
      <c r="D32" s="89">
        <f t="shared" si="0"/>
        <v>1174.3600000000006</v>
      </c>
      <c r="E32" s="85">
        <f t="shared" si="1"/>
        <v>-3.2131005890181203E-3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13075.15</v>
      </c>
      <c r="C33" s="88">
        <v>11906.8</v>
      </c>
      <c r="D33" s="89">
        <f t="shared" si="0"/>
        <v>1168.3500000000004</v>
      </c>
      <c r="E33" s="85">
        <f t="shared" si="1"/>
        <v>-8.3143380847266052E-3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13209.89</v>
      </c>
      <c r="C34" s="88">
        <v>12029.16</v>
      </c>
      <c r="D34" s="89">
        <f t="shared" si="0"/>
        <v>1180.7299999999996</v>
      </c>
      <c r="E34" s="85">
        <f t="shared" si="1"/>
        <v>2.1937018814738377E-3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13058.4</v>
      </c>
      <c r="C35" s="88">
        <v>11881.77</v>
      </c>
      <c r="D35" s="89">
        <f t="shared" si="0"/>
        <v>1176.6299999999992</v>
      </c>
      <c r="E35" s="85">
        <f t="shared" si="1"/>
        <v>-1.286343664683547E-3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13260.23</v>
      </c>
      <c r="C36" s="88">
        <v>12083.56</v>
      </c>
      <c r="D36" s="89">
        <f t="shared" si="0"/>
        <v>1176.67</v>
      </c>
      <c r="E36" s="85">
        <f t="shared" si="1"/>
        <v>-1.2523920008178588E-3</v>
      </c>
      <c r="G36" s="66"/>
      <c r="H36" s="66"/>
    </row>
    <row r="37" spans="1:15" ht="15" x14ac:dyDescent="0.3">
      <c r="A37" s="86">
        <v>17</v>
      </c>
      <c r="B37" s="90">
        <v>13299.84</v>
      </c>
      <c r="C37" s="88">
        <v>12111.15</v>
      </c>
      <c r="D37" s="89">
        <f t="shared" si="0"/>
        <v>1188.6900000000005</v>
      </c>
      <c r="E37" s="85">
        <f t="shared" si="1"/>
        <v>8.9500829905991095E-3</v>
      </c>
    </row>
    <row r="38" spans="1:15" ht="15" x14ac:dyDescent="0.3">
      <c r="A38" s="86">
        <v>18</v>
      </c>
      <c r="B38" s="90">
        <v>13058.68</v>
      </c>
      <c r="C38" s="88">
        <v>11884.65</v>
      </c>
      <c r="D38" s="89">
        <f t="shared" si="0"/>
        <v>1174.0300000000007</v>
      </c>
      <c r="E38" s="85">
        <f t="shared" si="1"/>
        <v>-3.4932018159038723E-3</v>
      </c>
    </row>
    <row r="39" spans="1:15" ht="15" x14ac:dyDescent="0.3">
      <c r="A39" s="86">
        <v>19</v>
      </c>
      <c r="B39" s="90">
        <v>13260.88</v>
      </c>
      <c r="C39" s="88">
        <v>12088.26</v>
      </c>
      <c r="D39" s="89">
        <f t="shared" si="0"/>
        <v>1172.619999999999</v>
      </c>
      <c r="E39" s="85">
        <f t="shared" si="1"/>
        <v>-4.6899979671446773E-3</v>
      </c>
    </row>
    <row r="40" spans="1:15" ht="14.25" customHeight="1" x14ac:dyDescent="0.3">
      <c r="A40" s="91">
        <v>20</v>
      </c>
      <c r="B40" s="92">
        <v>13083.86</v>
      </c>
      <c r="C40" s="93">
        <v>11902.54</v>
      </c>
      <c r="D40" s="94">
        <f t="shared" si="0"/>
        <v>1181.3199999999997</v>
      </c>
      <c r="E40" s="95">
        <f t="shared" si="1"/>
        <v>2.6944889234819308E-3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262584.47000000003</v>
      </c>
      <c r="C42" s="98">
        <f>SUM(C21:C40)</f>
        <v>239021.56</v>
      </c>
      <c r="D42" s="99">
        <f>SUM(D21:D40)</f>
        <v>23562.909999999993</v>
      </c>
    </row>
    <row r="43" spans="1:15" ht="15.75" customHeight="1" x14ac:dyDescent="0.3">
      <c r="A43" s="100" t="s">
        <v>47</v>
      </c>
      <c r="B43" s="101">
        <f>AVERAGE(B21:B40)</f>
        <v>13129.223500000002</v>
      </c>
      <c r="C43" s="102">
        <f>AVERAGE(C21:C40)</f>
        <v>11951.078</v>
      </c>
      <c r="D43" s="103">
        <f>AVERAGE(D21:D40)</f>
        <v>1178.1454999999996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292">
        <f>D43</f>
        <v>1178.1454999999996</v>
      </c>
      <c r="C47" s="107">
        <f>-(IF(D43&gt;300, 7.5%, 10%))</f>
        <v>-7.4999999999999997E-2</v>
      </c>
      <c r="D47" s="108">
        <f>IF(D43&lt;300, D43*0.9, D43*0.925)</f>
        <v>1089.7845874999998</v>
      </c>
    </row>
    <row r="48" spans="1:15" ht="15.75" customHeight="1" x14ac:dyDescent="0.3">
      <c r="B48" s="293"/>
      <c r="C48" s="109">
        <f>+(IF(D43&gt;300, 7.5%, 10%))</f>
        <v>7.4999999999999997E-2</v>
      </c>
      <c r="D48" s="108">
        <f>IF(D43&lt;300, D43*1.1, D43*1.075)</f>
        <v>1266.5064124999994</v>
      </c>
    </row>
    <row r="49" spans="1:7" ht="14.25" customHeight="1" x14ac:dyDescent="0.3">
      <c r="A49" s="110"/>
      <c r="D49" s="111"/>
    </row>
    <row r="50" spans="1:7" ht="15" customHeight="1" x14ac:dyDescent="0.3">
      <c r="B50" s="286" t="s">
        <v>26</v>
      </c>
      <c r="C50" s="286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B60" zoomScale="85" zoomScaleNormal="78" zoomScaleSheetLayoutView="85" workbookViewId="0">
      <selection activeCell="F69" sqref="F69:F70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5.2851562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94" t="s">
        <v>49</v>
      </c>
      <c r="B1" s="294"/>
      <c r="C1" s="294"/>
      <c r="D1" s="294"/>
      <c r="E1" s="294"/>
      <c r="F1" s="294"/>
      <c r="G1" s="294"/>
      <c r="H1" s="294"/>
    </row>
    <row r="2" spans="1:8" x14ac:dyDescent="0.2">
      <c r="A2" s="294"/>
      <c r="B2" s="294"/>
      <c r="C2" s="294"/>
      <c r="D2" s="294"/>
      <c r="E2" s="294"/>
      <c r="F2" s="294"/>
      <c r="G2" s="294"/>
      <c r="H2" s="294"/>
    </row>
    <row r="3" spans="1:8" x14ac:dyDescent="0.2">
      <c r="A3" s="294"/>
      <c r="B3" s="294"/>
      <c r="C3" s="294"/>
      <c r="D3" s="294"/>
      <c r="E3" s="294"/>
      <c r="F3" s="294"/>
      <c r="G3" s="294"/>
      <c r="H3" s="294"/>
    </row>
    <row r="4" spans="1:8" x14ac:dyDescent="0.2">
      <c r="A4" s="294"/>
      <c r="B4" s="294"/>
      <c r="C4" s="294"/>
      <c r="D4" s="294"/>
      <c r="E4" s="294"/>
      <c r="F4" s="294"/>
      <c r="G4" s="294"/>
      <c r="H4" s="294"/>
    </row>
    <row r="5" spans="1:8" x14ac:dyDescent="0.2">
      <c r="A5" s="294"/>
      <c r="B5" s="294"/>
      <c r="C5" s="294"/>
      <c r="D5" s="294"/>
      <c r="E5" s="294"/>
      <c r="F5" s="294"/>
      <c r="G5" s="294"/>
      <c r="H5" s="294"/>
    </row>
    <row r="6" spans="1:8" x14ac:dyDescent="0.2">
      <c r="A6" s="294"/>
      <c r="B6" s="294"/>
      <c r="C6" s="294"/>
      <c r="D6" s="294"/>
      <c r="E6" s="294"/>
      <c r="F6" s="294"/>
      <c r="G6" s="294"/>
      <c r="H6" s="294"/>
    </row>
    <row r="7" spans="1:8" x14ac:dyDescent="0.2">
      <c r="A7" s="294"/>
      <c r="B7" s="294"/>
      <c r="C7" s="294"/>
      <c r="D7" s="294"/>
      <c r="E7" s="294"/>
      <c r="F7" s="294"/>
      <c r="G7" s="294"/>
      <c r="H7" s="294"/>
    </row>
    <row r="8" spans="1:8" x14ac:dyDescent="0.2">
      <c r="A8" s="295" t="s">
        <v>50</v>
      </c>
      <c r="B8" s="295"/>
      <c r="C8" s="295"/>
      <c r="D8" s="295"/>
      <c r="E8" s="295"/>
      <c r="F8" s="295"/>
      <c r="G8" s="295"/>
      <c r="H8" s="295"/>
    </row>
    <row r="9" spans="1:8" x14ac:dyDescent="0.2">
      <c r="A9" s="295"/>
      <c r="B9" s="295"/>
      <c r="C9" s="295"/>
      <c r="D9" s="295"/>
      <c r="E9" s="295"/>
      <c r="F9" s="295"/>
      <c r="G9" s="295"/>
      <c r="H9" s="295"/>
    </row>
    <row r="10" spans="1:8" x14ac:dyDescent="0.2">
      <c r="A10" s="295"/>
      <c r="B10" s="295"/>
      <c r="C10" s="295"/>
      <c r="D10" s="295"/>
      <c r="E10" s="295"/>
      <c r="F10" s="295"/>
      <c r="G10" s="295"/>
      <c r="H10" s="295"/>
    </row>
    <row r="11" spans="1:8" x14ac:dyDescent="0.2">
      <c r="A11" s="295"/>
      <c r="B11" s="295"/>
      <c r="C11" s="295"/>
      <c r="D11" s="295"/>
      <c r="E11" s="295"/>
      <c r="F11" s="295"/>
      <c r="G11" s="295"/>
      <c r="H11" s="295"/>
    </row>
    <row r="12" spans="1:8" x14ac:dyDescent="0.2">
      <c r="A12" s="295"/>
      <c r="B12" s="295"/>
      <c r="C12" s="295"/>
      <c r="D12" s="295"/>
      <c r="E12" s="295"/>
      <c r="F12" s="295"/>
      <c r="G12" s="295"/>
      <c r="H12" s="295"/>
    </row>
    <row r="13" spans="1:8" x14ac:dyDescent="0.2">
      <c r="A13" s="295"/>
      <c r="B13" s="295"/>
      <c r="C13" s="295"/>
      <c r="D13" s="295"/>
      <c r="E13" s="295"/>
      <c r="F13" s="295"/>
      <c r="G13" s="295"/>
      <c r="H13" s="295"/>
    </row>
    <row r="14" spans="1:8" x14ac:dyDescent="0.2">
      <c r="A14" s="295"/>
      <c r="B14" s="295"/>
      <c r="C14" s="295"/>
      <c r="D14" s="295"/>
      <c r="E14" s="295"/>
      <c r="F14" s="295"/>
      <c r="G14" s="295"/>
      <c r="H14" s="295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302" t="s">
        <v>31</v>
      </c>
      <c r="B16" s="303"/>
      <c r="C16" s="303"/>
      <c r="D16" s="303"/>
      <c r="E16" s="303"/>
      <c r="F16" s="303"/>
      <c r="G16" s="303"/>
      <c r="H16" s="304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305" t="s">
        <v>5</v>
      </c>
      <c r="C18" s="305"/>
      <c r="D18" s="305"/>
      <c r="E18" s="305"/>
      <c r="F18" s="119"/>
      <c r="G18" s="119"/>
      <c r="H18" s="119"/>
    </row>
    <row r="19" spans="1:8" ht="26.25" customHeight="1" x14ac:dyDescent="0.4">
      <c r="A19" s="121" t="s">
        <v>34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306" t="s">
        <v>11</v>
      </c>
      <c r="C21" s="306"/>
      <c r="D21" s="306"/>
      <c r="E21" s="306"/>
      <c r="F21" s="306"/>
      <c r="G21" s="306"/>
      <c r="H21" s="306"/>
    </row>
    <row r="22" spans="1:8" ht="26.25" customHeight="1" x14ac:dyDescent="0.4">
      <c r="A22" s="121" t="s">
        <v>37</v>
      </c>
      <c r="B22" s="123" t="s">
        <v>12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/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305" t="s">
        <v>116</v>
      </c>
      <c r="C26" s="305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306" t="s">
        <v>117</v>
      </c>
      <c r="C27" s="306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84.4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>
        <v>0</v>
      </c>
      <c r="C29" s="307" t="s">
        <v>54</v>
      </c>
      <c r="D29" s="308"/>
      <c r="E29" s="308"/>
      <c r="F29" s="308"/>
      <c r="G29" s="308"/>
      <c r="H29" s="309"/>
    </row>
    <row r="30" spans="1:8" ht="19.5" customHeight="1" x14ac:dyDescent="0.3">
      <c r="A30" s="127" t="s">
        <v>55</v>
      </c>
      <c r="B30" s="130">
        <f>B28-B29</f>
        <v>84.4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56</v>
      </c>
      <c r="B31" s="133">
        <v>1</v>
      </c>
      <c r="C31" s="310" t="s">
        <v>57</v>
      </c>
      <c r="D31" s="311"/>
      <c r="E31" s="311"/>
      <c r="F31" s="311"/>
      <c r="G31" s="311"/>
      <c r="H31" s="312"/>
    </row>
    <row r="32" spans="1:8" ht="27" customHeight="1" x14ac:dyDescent="0.4">
      <c r="A32" s="127" t="s">
        <v>58</v>
      </c>
      <c r="B32" s="133">
        <v>1</v>
      </c>
      <c r="C32" s="310" t="s">
        <v>59</v>
      </c>
      <c r="D32" s="311"/>
      <c r="E32" s="311"/>
      <c r="F32" s="311"/>
      <c r="G32" s="311"/>
      <c r="H32" s="312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60</v>
      </c>
      <c r="B34" s="136">
        <f>B31/B32</f>
        <v>1</v>
      </c>
      <c r="C34" s="119" t="s">
        <v>61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62</v>
      </c>
      <c r="B36" s="139">
        <v>10</v>
      </c>
      <c r="C36" s="119"/>
      <c r="D36" s="313" t="s">
        <v>63</v>
      </c>
      <c r="E36" s="314"/>
      <c r="F36" s="313" t="s">
        <v>64</v>
      </c>
      <c r="G36" s="315"/>
      <c r="H36" s="137"/>
    </row>
    <row r="37" spans="1:8" ht="26.25" customHeight="1" x14ac:dyDescent="0.4">
      <c r="A37" s="140" t="s">
        <v>65</v>
      </c>
      <c r="B37" s="141">
        <v>1</v>
      </c>
      <c r="C37" s="142" t="s">
        <v>66</v>
      </c>
      <c r="D37" s="143" t="s">
        <v>67</v>
      </c>
      <c r="E37" s="144" t="s">
        <v>68</v>
      </c>
      <c r="F37" s="143" t="s">
        <v>67</v>
      </c>
      <c r="G37" s="145" t="s">
        <v>68</v>
      </c>
      <c r="H37" s="137"/>
    </row>
    <row r="38" spans="1:8" ht="26.25" customHeight="1" x14ac:dyDescent="0.4">
      <c r="A38" s="140" t="s">
        <v>69</v>
      </c>
      <c r="B38" s="141">
        <v>1</v>
      </c>
      <c r="C38" s="146">
        <v>1</v>
      </c>
      <c r="D38" s="147">
        <f>1299691+1578871+22515825+21947807</f>
        <v>47342194</v>
      </c>
      <c r="E38" s="148">
        <f>IF(ISBLANK(D38),"-",$D$48/$D$45*D38)</f>
        <v>55236481.456850111</v>
      </c>
      <c r="F38" s="147">
        <f>1308062+1579529+22589628+22002585</f>
        <v>47479804</v>
      </c>
      <c r="G38" s="149">
        <f>IF(ISBLANK(F38),"-",$D$48/$F$45*F38)</f>
        <v>53322930.751780048</v>
      </c>
      <c r="H38" s="137"/>
    </row>
    <row r="39" spans="1:8" ht="26.25" customHeight="1" x14ac:dyDescent="0.4">
      <c r="A39" s="140" t="s">
        <v>70</v>
      </c>
      <c r="B39" s="141">
        <v>1</v>
      </c>
      <c r="C39" s="150">
        <v>2</v>
      </c>
      <c r="D39" s="151">
        <f>1284184+1550492+22330219+21732555</f>
        <v>46897450</v>
      </c>
      <c r="E39" s="152">
        <f>IF(ISBLANK(D39),"-",$D$48/$D$45*D39)</f>
        <v>54717576.614606313</v>
      </c>
      <c r="F39" s="151">
        <f>1297748+1557210+22534941+21919507</f>
        <v>47309406</v>
      </c>
      <c r="G39" s="153">
        <f>IF(ISBLANK(F39),"-",$D$48/$F$45*F39)</f>
        <v>53131562.633364022</v>
      </c>
      <c r="H39" s="137"/>
    </row>
    <row r="40" spans="1:8" ht="26.25" customHeight="1" x14ac:dyDescent="0.4">
      <c r="A40" s="140" t="s">
        <v>71</v>
      </c>
      <c r="B40" s="141">
        <v>1</v>
      </c>
      <c r="C40" s="150">
        <v>3</v>
      </c>
      <c r="D40" s="151">
        <f>1255157+1504281+21833723+21227528</f>
        <v>45820689</v>
      </c>
      <c r="E40" s="152">
        <f>IF(ISBLANK(D40),"-",$D$48/$D$45*D40)</f>
        <v>53461266.249903753</v>
      </c>
      <c r="F40" s="151">
        <f>1279341+1536697+22219520+21611530</f>
        <v>46647088</v>
      </c>
      <c r="G40" s="153">
        <f>IF(ISBLANK(F40),"-",$D$48/$F$45*F40)</f>
        <v>52387736.124525495</v>
      </c>
      <c r="H40" s="119"/>
    </row>
    <row r="41" spans="1:8" ht="26.25" customHeight="1" x14ac:dyDescent="0.4">
      <c r="A41" s="140" t="s">
        <v>72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73</v>
      </c>
      <c r="B42" s="141">
        <v>1</v>
      </c>
      <c r="C42" s="158" t="s">
        <v>74</v>
      </c>
      <c r="D42" s="159">
        <f>AVERAGE(D38:D41)</f>
        <v>46686777.666666664</v>
      </c>
      <c r="E42" s="160">
        <f>AVERAGE(E38:E41)</f>
        <v>54471774.773786724</v>
      </c>
      <c r="F42" s="159">
        <f>AVERAGE(F38:F41)</f>
        <v>47145432.666666664</v>
      </c>
      <c r="G42" s="161">
        <f>AVERAGE(G38:G41)</f>
        <v>52947409.836556524</v>
      </c>
      <c r="H42" s="162"/>
    </row>
    <row r="43" spans="1:8" ht="26.25" customHeight="1" x14ac:dyDescent="0.4">
      <c r="A43" s="140" t="s">
        <v>75</v>
      </c>
      <c r="B43" s="141">
        <v>1</v>
      </c>
      <c r="C43" s="163" t="s">
        <v>76</v>
      </c>
      <c r="D43" s="164">
        <v>20.309999999999999</v>
      </c>
      <c r="E43" s="165"/>
      <c r="F43" s="164">
        <v>21.1</v>
      </c>
      <c r="G43" s="119"/>
      <c r="H43" s="162"/>
    </row>
    <row r="44" spans="1:8" ht="26.25" customHeight="1" x14ac:dyDescent="0.4">
      <c r="A44" s="140" t="s">
        <v>77</v>
      </c>
      <c r="B44" s="141">
        <v>1</v>
      </c>
      <c r="C44" s="166" t="s">
        <v>78</v>
      </c>
      <c r="D44" s="167">
        <f>D43*$B$34</f>
        <v>20.309999999999999</v>
      </c>
      <c r="E44" s="168"/>
      <c r="F44" s="167">
        <f>F43*$B$34</f>
        <v>21.1</v>
      </c>
      <c r="G44" s="119"/>
      <c r="H44" s="162"/>
    </row>
    <row r="45" spans="1:8" ht="19.5" customHeight="1" x14ac:dyDescent="0.3">
      <c r="A45" s="140" t="s">
        <v>79</v>
      </c>
      <c r="B45" s="169">
        <f>(B44/B43)*(B42/B41)*(B40/B39)*(B38/B37)*B36</f>
        <v>10</v>
      </c>
      <c r="C45" s="166" t="s">
        <v>80</v>
      </c>
      <c r="D45" s="170">
        <f>D44*$B$30/100</f>
        <v>17.141639999999999</v>
      </c>
      <c r="E45" s="171"/>
      <c r="F45" s="170">
        <f>F44*$B$30/100</f>
        <v>17.808400000000002</v>
      </c>
      <c r="G45" s="119"/>
      <c r="H45" s="162"/>
    </row>
    <row r="46" spans="1:8" ht="19.5" customHeight="1" x14ac:dyDescent="0.3">
      <c r="A46" s="316" t="s">
        <v>81</v>
      </c>
      <c r="B46" s="317"/>
      <c r="C46" s="166" t="s">
        <v>82</v>
      </c>
      <c r="D46" s="167">
        <f>D45/$B$45</f>
        <v>1.7141639999999998</v>
      </c>
      <c r="E46" s="171"/>
      <c r="F46" s="172">
        <f>F45/$B$45</f>
        <v>1.7808400000000002</v>
      </c>
      <c r="G46" s="119"/>
      <c r="H46" s="162"/>
    </row>
    <row r="47" spans="1:8" ht="27" customHeight="1" x14ac:dyDescent="0.4">
      <c r="A47" s="318"/>
      <c r="B47" s="319"/>
      <c r="C47" s="173" t="s">
        <v>83</v>
      </c>
      <c r="D47" s="174">
        <v>2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84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85</v>
      </c>
      <c r="D49" s="178">
        <f>D48/B34</f>
        <v>20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86</v>
      </c>
      <c r="D50" s="179">
        <f>AVERAGE(E38:E41,G38:G41)</f>
        <v>53709592.305171616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87</v>
      </c>
      <c r="D51" s="181">
        <f>STDEV(E38:E41,G38:G41)/D50</f>
        <v>1.9774403110950661E-2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88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89</v>
      </c>
      <c r="B55" s="185" t="str">
        <f>B21</f>
        <v>Each vial contains Capreomycin sulphate equivalent to 1 g Capreomycin.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90</v>
      </c>
      <c r="B56" s="187">
        <v>1000</v>
      </c>
      <c r="C56" s="119" t="str">
        <f>B20</f>
        <v>Capreomycin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91</v>
      </c>
      <c r="B57" s="235">
        <v>1178.1454999999996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92</v>
      </c>
      <c r="B59" s="139">
        <v>100</v>
      </c>
      <c r="C59" s="119"/>
      <c r="D59" s="189" t="s">
        <v>93</v>
      </c>
      <c r="E59" s="190" t="s">
        <v>66</v>
      </c>
      <c r="F59" s="190" t="s">
        <v>67</v>
      </c>
      <c r="G59" s="190" t="s">
        <v>94</v>
      </c>
      <c r="H59" s="142" t="s">
        <v>95</v>
      </c>
    </row>
    <row r="60" spans="1:8" ht="26.25" customHeight="1" x14ac:dyDescent="0.4">
      <c r="A60" s="140" t="s">
        <v>96</v>
      </c>
      <c r="B60" s="141">
        <v>1</v>
      </c>
      <c r="C60" s="296" t="s">
        <v>97</v>
      </c>
      <c r="D60" s="299">
        <v>235.9</v>
      </c>
      <c r="E60" s="191">
        <v>1</v>
      </c>
      <c r="F60" s="192">
        <f>238927+76215+30687165+24144012</f>
        <v>55146319</v>
      </c>
      <c r="G60" s="193">
        <f>IF(ISBLANK(F60),"-",(F60/$D$50*$D$47*$B$68)*($B$57/$D$60))</f>
        <v>1025.5708220905067</v>
      </c>
      <c r="H60" s="194">
        <f t="shared" ref="H60:H71" si="0">IF(ISBLANK(F60),"-",G60/$B$56)</f>
        <v>1.0255708220905067</v>
      </c>
    </row>
    <row r="61" spans="1:8" ht="26.25" customHeight="1" x14ac:dyDescent="0.4">
      <c r="A61" s="140" t="s">
        <v>98</v>
      </c>
      <c r="B61" s="141">
        <v>1</v>
      </c>
      <c r="C61" s="297"/>
      <c r="D61" s="300"/>
      <c r="E61" s="195">
        <v>2</v>
      </c>
      <c r="F61" s="151">
        <f>236188+75178+30283240+23837764</f>
        <v>54432370</v>
      </c>
      <c r="G61" s="196">
        <f>IF(ISBLANK(F61),"-",(F61/$D$50*$D$47*$B$68)*($B$57/$D$60))</f>
        <v>1012.2933218667712</v>
      </c>
      <c r="H61" s="197">
        <f t="shared" si="0"/>
        <v>1.0122933218667711</v>
      </c>
    </row>
    <row r="62" spans="1:8" ht="26.25" customHeight="1" x14ac:dyDescent="0.4">
      <c r="A62" s="140" t="s">
        <v>99</v>
      </c>
      <c r="B62" s="141">
        <v>1</v>
      </c>
      <c r="C62" s="297"/>
      <c r="D62" s="300"/>
      <c r="E62" s="195">
        <v>3</v>
      </c>
      <c r="F62" s="151">
        <f>235479+75322+30137831+23695101</f>
        <v>54143733</v>
      </c>
      <c r="G62" s="196">
        <f>IF(ISBLANK(F62),"-",(F62/$D$50*$D$47*$B$68)*($B$57/$D$60))</f>
        <v>1006.9254624929526</v>
      </c>
      <c r="H62" s="197">
        <f t="shared" si="0"/>
        <v>1.0069254624929527</v>
      </c>
    </row>
    <row r="63" spans="1:8" ht="27" customHeight="1" x14ac:dyDescent="0.4">
      <c r="A63" s="140" t="s">
        <v>100</v>
      </c>
      <c r="B63" s="141">
        <v>1</v>
      </c>
      <c r="C63" s="298"/>
      <c r="D63" s="301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101</v>
      </c>
      <c r="B64" s="141">
        <v>1</v>
      </c>
      <c r="C64" s="296" t="s">
        <v>102</v>
      </c>
      <c r="D64" s="299">
        <v>235.54</v>
      </c>
      <c r="E64" s="191">
        <v>1</v>
      </c>
      <c r="F64" s="192">
        <f>232606+74926+29924049+23558829</f>
        <v>53790410</v>
      </c>
      <c r="G64" s="200">
        <f>IF(ISBLANK(F64),"-",(F64/$D$50*$D$47*$B$68)*($B$57/$D$64))</f>
        <v>1001.8835651234954</v>
      </c>
      <c r="H64" s="201">
        <f t="shared" si="0"/>
        <v>1.0018835651234954</v>
      </c>
    </row>
    <row r="65" spans="1:8" ht="26.25" customHeight="1" x14ac:dyDescent="0.4">
      <c r="A65" s="140" t="s">
        <v>103</v>
      </c>
      <c r="B65" s="141">
        <v>1</v>
      </c>
      <c r="C65" s="297"/>
      <c r="D65" s="300"/>
      <c r="E65" s="195">
        <v>2</v>
      </c>
      <c r="F65" s="151">
        <f>244665+77689+31041040+24444679</f>
        <v>55808073</v>
      </c>
      <c r="G65" s="202">
        <f>IF(ISBLANK(F65),"-",(F65/$D$50*$D$47*$B$68)*($B$57/$D$64))</f>
        <v>1039.4639330674797</v>
      </c>
      <c r="H65" s="203">
        <f t="shared" si="0"/>
        <v>1.0394639330674798</v>
      </c>
    </row>
    <row r="66" spans="1:8" ht="26.25" customHeight="1" x14ac:dyDescent="0.4">
      <c r="A66" s="140" t="s">
        <v>104</v>
      </c>
      <c r="B66" s="141">
        <v>1</v>
      </c>
      <c r="C66" s="297"/>
      <c r="D66" s="300"/>
      <c r="E66" s="195">
        <v>3</v>
      </c>
      <c r="F66" s="151">
        <f>246355+80110+31272747+24581945</f>
        <v>56181157</v>
      </c>
      <c r="G66" s="202">
        <f>IF(ISBLANK(F66),"-",(F66/$D$50*$D$47*$B$68)*($B$57/$D$64))</f>
        <v>1046.4128804358029</v>
      </c>
      <c r="H66" s="203">
        <f t="shared" si="0"/>
        <v>1.0464128804358028</v>
      </c>
    </row>
    <row r="67" spans="1:8" ht="27" customHeight="1" x14ac:dyDescent="0.4">
      <c r="A67" s="140" t="s">
        <v>105</v>
      </c>
      <c r="B67" s="141">
        <v>1</v>
      </c>
      <c r="C67" s="298"/>
      <c r="D67" s="301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106</v>
      </c>
      <c r="B68" s="206">
        <f>(B67/B66)*(B65/B64)*(B63/B62)*(B61/B60)*B59</f>
        <v>100</v>
      </c>
      <c r="C68" s="296" t="s">
        <v>107</v>
      </c>
      <c r="D68" s="299">
        <v>235.57</v>
      </c>
      <c r="E68" s="191">
        <v>1</v>
      </c>
      <c r="F68" s="192"/>
      <c r="G68" s="200" t="str">
        <f>IF(ISBLANK(F68),"-",(F68/$D$50*$D$47*$B$68)*($B$57/$D$68))</f>
        <v>-</v>
      </c>
      <c r="H68" s="197" t="str">
        <f t="shared" si="0"/>
        <v>-</v>
      </c>
    </row>
    <row r="69" spans="1:8" ht="27" customHeight="1" x14ac:dyDescent="0.4">
      <c r="A69" s="182" t="s">
        <v>108</v>
      </c>
      <c r="B69" s="207">
        <f>(D47*B68)/B56*B57</f>
        <v>235.62909999999994</v>
      </c>
      <c r="C69" s="297"/>
      <c r="D69" s="300"/>
      <c r="E69" s="195">
        <v>2</v>
      </c>
      <c r="F69" s="151"/>
      <c r="G69" s="202" t="str">
        <f>IF(ISBLANK(F69),"-",(F69/$D$50*$D$47*$B$68)*($B$57/$D$68))</f>
        <v>-</v>
      </c>
      <c r="H69" s="197" t="str">
        <f t="shared" si="0"/>
        <v>-</v>
      </c>
    </row>
    <row r="70" spans="1:8" ht="26.25" customHeight="1" x14ac:dyDescent="0.4">
      <c r="A70" s="316" t="s">
        <v>81</v>
      </c>
      <c r="B70" s="317"/>
      <c r="C70" s="297"/>
      <c r="D70" s="300"/>
      <c r="E70" s="195">
        <v>3</v>
      </c>
      <c r="F70" s="151"/>
      <c r="G70" s="202" t="str">
        <f>IF(ISBLANK(F70),"-",(F70/$D$50*$D$47*$B$68)*($B$57/$D$68))</f>
        <v>-</v>
      </c>
      <c r="H70" s="197" t="str">
        <f t="shared" si="0"/>
        <v>-</v>
      </c>
    </row>
    <row r="71" spans="1:8" ht="27" customHeight="1" x14ac:dyDescent="0.4">
      <c r="A71" s="318"/>
      <c r="B71" s="319"/>
      <c r="C71" s="321"/>
      <c r="D71" s="301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74</v>
      </c>
      <c r="H72" s="212">
        <f>AVERAGE(H60:H71)</f>
        <v>1.0220916641795015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87</v>
      </c>
      <c r="H73" s="214">
        <f>STDEV(H60:H71)/H72</f>
        <v>1.7718296043207793E-2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6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109</v>
      </c>
      <c r="B76" s="221" t="s">
        <v>110</v>
      </c>
      <c r="C76" s="322" t="str">
        <f>B20</f>
        <v>Capreomycin</v>
      </c>
      <c r="D76" s="322"/>
      <c r="E76" s="222" t="s">
        <v>111</v>
      </c>
      <c r="F76" s="222"/>
      <c r="G76" s="223">
        <f>H72</f>
        <v>1.0220916641795015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320" t="s">
        <v>26</v>
      </c>
      <c r="C78" s="320"/>
      <c r="D78" s="119"/>
      <c r="E78" s="226" t="s">
        <v>27</v>
      </c>
      <c r="F78" s="227"/>
      <c r="G78" s="320" t="s">
        <v>28</v>
      </c>
      <c r="H78" s="320"/>
    </row>
    <row r="79" spans="1:8" ht="60" customHeight="1" x14ac:dyDescent="0.3">
      <c r="A79" s="228" t="s">
        <v>29</v>
      </c>
      <c r="B79" s="237" t="s">
        <v>118</v>
      </c>
      <c r="C79" s="237" t="s">
        <v>119</v>
      </c>
      <c r="D79" s="119"/>
      <c r="E79" s="229"/>
      <c r="F79" s="230"/>
      <c r="G79" s="231"/>
      <c r="H79" s="231"/>
    </row>
    <row r="80" spans="1:8" ht="60" customHeight="1" x14ac:dyDescent="0.3">
      <c r="A80" s="228" t="s">
        <v>30</v>
      </c>
      <c r="B80" s="232"/>
      <c r="C80" s="232"/>
      <c r="D80" s="119"/>
      <c r="E80" s="233"/>
      <c r="F80" s="230"/>
      <c r="G80" s="234"/>
      <c r="H80" s="234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5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CAPREOMYCIN Total SST</vt:lpstr>
      <vt:lpstr>CAPREOMYCIN IA SST</vt:lpstr>
      <vt:lpstr>CAPREOMYCIN IB SST</vt:lpstr>
      <vt:lpstr>Uniformity</vt:lpstr>
      <vt:lpstr>CAPREOMYCIN</vt:lpstr>
      <vt:lpstr>CAPREOMYCIN!Print_Area</vt:lpstr>
      <vt:lpstr>'CAPREOMYCIN Total SST'!Print_Area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2018-02-09T08:49:02Z</cp:lastPrinted>
  <dcterms:created xsi:type="dcterms:W3CDTF">2005-07-05T10:19:27Z</dcterms:created>
  <dcterms:modified xsi:type="dcterms:W3CDTF">2018-02-09T08:53:20Z</dcterms:modified>
</cp:coreProperties>
</file>