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510" yWindow="555" windowWidth="15015" windowHeight="7620" activeTab="2"/>
  </bookViews>
  <sheets>
    <sheet name="SST" sheetId="1" r:id="rId1"/>
    <sheet name="Uniformity" sheetId="2" r:id="rId2"/>
    <sheet name="LEVOFLOXACIN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C124" i="3" l="1"/>
  <c r="B116" i="3"/>
  <c r="D100" i="3" s="1"/>
  <c r="B98" i="3"/>
  <c r="F95" i="3"/>
  <c r="D95" i="3"/>
  <c r="I92" i="3" s="1"/>
  <c r="B87" i="3"/>
  <c r="F97" i="3" s="1"/>
  <c r="B81" i="3"/>
  <c r="B83" i="3" s="1"/>
  <c r="B80" i="3"/>
  <c r="B79" i="3"/>
  <c r="C76" i="3"/>
  <c r="B68" i="3"/>
  <c r="C56" i="3"/>
  <c r="B55" i="3"/>
  <c r="B45" i="3"/>
  <c r="D48" i="3" s="1"/>
  <c r="F42" i="3"/>
  <c r="D42" i="3"/>
  <c r="I39" i="3"/>
  <c r="B34" i="3"/>
  <c r="F44" i="3" s="1"/>
  <c r="B30" i="3"/>
  <c r="C46" i="2"/>
  <c r="B57" i="3" s="1"/>
  <c r="C45" i="2"/>
  <c r="D41" i="2"/>
  <c r="D37" i="2"/>
  <c r="D33" i="2"/>
  <c r="D29" i="2"/>
  <c r="D25" i="2"/>
  <c r="C19" i="2"/>
  <c r="B53" i="1"/>
  <c r="E51" i="1"/>
  <c r="D51" i="1"/>
  <c r="C51" i="1"/>
  <c r="B51" i="1"/>
  <c r="B52" i="1" s="1"/>
  <c r="B32" i="1"/>
  <c r="E30" i="1"/>
  <c r="D30" i="1"/>
  <c r="C30" i="1"/>
  <c r="B30" i="1"/>
  <c r="B31" i="1" s="1"/>
  <c r="D101" i="3" l="1"/>
  <c r="D102" i="3" s="1"/>
  <c r="F45" i="3"/>
  <c r="F46" i="3" s="1"/>
  <c r="F98" i="3"/>
  <c r="F99" i="3" s="1"/>
  <c r="G94" i="3"/>
  <c r="G91" i="3"/>
  <c r="G40" i="3"/>
  <c r="B69" i="3"/>
  <c r="C50" i="2"/>
  <c r="D97" i="3"/>
  <c r="D98" i="3" s="1"/>
  <c r="E92" i="3" s="1"/>
  <c r="D26" i="2"/>
  <c r="D30" i="2"/>
  <c r="D34" i="2"/>
  <c r="D38" i="2"/>
  <c r="D42" i="2"/>
  <c r="B49" i="2"/>
  <c r="D50" i="2"/>
  <c r="D44" i="3"/>
  <c r="D45" i="3" s="1"/>
  <c r="D49" i="3"/>
  <c r="D27" i="2"/>
  <c r="D31" i="2"/>
  <c r="D35" i="2"/>
  <c r="D39" i="2"/>
  <c r="D43" i="2"/>
  <c r="C49" i="2"/>
  <c r="D24" i="2"/>
  <c r="D28" i="2"/>
  <c r="D32" i="2"/>
  <c r="D36" i="2"/>
  <c r="D40" i="2"/>
  <c r="D49" i="2"/>
  <c r="G92" i="3" l="1"/>
  <c r="G93" i="3"/>
  <c r="G38" i="3"/>
  <c r="G41" i="3"/>
  <c r="G39" i="3"/>
  <c r="E91" i="3"/>
  <c r="E94" i="3"/>
  <c r="D99" i="3"/>
  <c r="E93" i="3"/>
  <c r="D46" i="3"/>
  <c r="E39" i="3"/>
  <c r="E38" i="3"/>
  <c r="E40" i="3"/>
  <c r="E41" i="3"/>
  <c r="G95" i="3" l="1"/>
  <c r="G42" i="3"/>
  <c r="D50" i="3"/>
  <c r="E42" i="3"/>
  <c r="D52" i="3"/>
  <c r="D103" i="3"/>
  <c r="E95" i="3"/>
  <c r="D105" i="3"/>
  <c r="E113" i="3" l="1"/>
  <c r="F113" i="3" s="1"/>
  <c r="E111" i="3"/>
  <c r="F111" i="3" s="1"/>
  <c r="E109" i="3"/>
  <c r="F109" i="3" s="1"/>
  <c r="D104" i="3"/>
  <c r="E112" i="3"/>
  <c r="F112" i="3" s="1"/>
  <c r="E110" i="3"/>
  <c r="F110" i="3" s="1"/>
  <c r="E108" i="3"/>
  <c r="D51" i="3"/>
  <c r="G70" i="3"/>
  <c r="H70" i="3" s="1"/>
  <c r="G67" i="3"/>
  <c r="H67" i="3" s="1"/>
  <c r="G65" i="3"/>
  <c r="H65" i="3" s="1"/>
  <c r="G63" i="3"/>
  <c r="H63" i="3" s="1"/>
  <c r="G61" i="3"/>
  <c r="H61" i="3" s="1"/>
  <c r="G68" i="3"/>
  <c r="H68" i="3" s="1"/>
  <c r="G71" i="3"/>
  <c r="H71" i="3" s="1"/>
  <c r="G69" i="3"/>
  <c r="H69" i="3" s="1"/>
  <c r="G66" i="3"/>
  <c r="H66" i="3" s="1"/>
  <c r="G64" i="3"/>
  <c r="H64" i="3" s="1"/>
  <c r="G62" i="3"/>
  <c r="H62" i="3" s="1"/>
  <c r="G60" i="3"/>
  <c r="G74" i="3" l="1"/>
  <c r="G72" i="3"/>
  <c r="G73" i="3" s="1"/>
  <c r="H60" i="3"/>
  <c r="E120" i="3"/>
  <c r="E117" i="3"/>
  <c r="F108" i="3"/>
  <c r="E115" i="3"/>
  <c r="E116" i="3" s="1"/>
  <c r="E119" i="3"/>
  <c r="F125" i="3" l="1"/>
  <c r="F120" i="3"/>
  <c r="F117" i="3"/>
  <c r="D125" i="3"/>
  <c r="F115" i="3"/>
  <c r="F119" i="3"/>
  <c r="H74" i="3"/>
  <c r="H72" i="3"/>
  <c r="G76" i="3" l="1"/>
  <c r="H73" i="3"/>
  <c r="G124" i="3"/>
  <c r="F116" i="3"/>
</calcChain>
</file>

<file path=xl/sharedStrings.xml><?xml version="1.0" encoding="utf-8"?>
<sst xmlns="http://schemas.openxmlformats.org/spreadsheetml/2006/main" count="241" uniqueCount="135">
  <si>
    <t>HPLC System Suitability Report</t>
  </si>
  <si>
    <t>Analysis Data</t>
  </si>
  <si>
    <t>Assay</t>
  </si>
  <si>
    <t>Sample(s)</t>
  </si>
  <si>
    <t>Reference Substance:</t>
  </si>
  <si>
    <t>LEVOFLOXACIN TABLETS 250 mg</t>
  </si>
  <si>
    <t>% age Purity:</t>
  </si>
  <si>
    <t>NDQB201709209</t>
  </si>
  <si>
    <t>Weight (mg):</t>
  </si>
  <si>
    <t>Levofloxacin</t>
  </si>
  <si>
    <t>Standard Conc (mg/mL):</t>
  </si>
  <si>
    <t>Each film coated tablets contains 256.24 mg  of Levofloxacin hemihydrate equivalent to 250 mg</t>
  </si>
  <si>
    <t>2017-09-27 13:54:29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</si>
  <si>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</si>
  <si>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</si>
  <si>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</si>
  <si>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</si>
  <si>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</si>
  <si>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</si>
  <si>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</si>
  <si>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</si>
  <si>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</si>
  <si>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  <family val="1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</si>
  <si>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  <family val="1"/>
      </rPr>
      <t>greater than 2000</t>
    </r>
  </si>
  <si>
    <r>
      <t>The Assymetry of all peaks were below</t>
    </r>
    <r>
      <rPr>
        <b/>
        <sz val="12"/>
        <color rgb="FF000000"/>
        <rFont val="Book Antiqua"/>
        <family val="1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</si>
  <si>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</si>
  <si>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</si>
  <si>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</si>
  <si>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</si>
  <si>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</si>
  <si>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</si>
  <si>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</si>
  <si>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</si>
  <si>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</si>
  <si>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</si>
  <si>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</si>
  <si>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</si>
  <si>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</si>
  <si>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</si>
  <si>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</si>
  <si>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</si>
  <si>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</si>
  <si>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</si>
  <si>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</si>
  <si>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</si>
  <si>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</si>
  <si>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</si>
  <si>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</si>
  <si>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</si>
  <si>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</si>
  <si>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</si>
  <si>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</si>
  <si>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</si>
  <si>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</si>
  <si>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</si>
  <si>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</si>
  <si>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</si>
  <si>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</si>
  <si>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</si>
  <si>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</si>
  <si>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</si>
  <si>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</si>
  <si>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</si>
  <si>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</si>
  <si>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</si>
  <si>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</si>
  <si>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</si>
  <si>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</si>
  <si>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</si>
  <si>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</si>
  <si>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</si>
  <si>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</si>
  <si>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</si>
  <si>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</si>
  <si>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</si>
  <si>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</si>
  <si>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</si>
  <si>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</si>
  <si>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</si>
  <si>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</si>
  <si>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</si>
  <si>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</si>
  <si>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</si>
  <si>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</si>
  <si>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</si>
  <si>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</si>
  <si>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</si>
  <si>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</si>
  <si>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</si>
  <si>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</si>
  <si>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</si>
  <si>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</si>
  <si>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</si>
  <si>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</si>
  <si>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</si>
  <si>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</si>
  <si>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</si>
  <si>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  <family val="1"/>
      </rPr>
      <t>nd</t>
    </r>
    <r>
      <rPr>
        <sz val="14"/>
        <color rgb="FF000000"/>
        <rFont val="Book Antiqua"/>
        <family val="1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</si>
  <si>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</si>
  <si>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</si>
  <si>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  <family val="1"/>
      </rPr>
      <t>rd</t>
    </r>
    <r>
      <rPr>
        <sz val="14"/>
        <color rgb="FF000000"/>
        <rFont val="Book Antiqua"/>
        <family val="1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</si>
  <si>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</si>
  <si>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  <family val="1"/>
      </rPr>
      <t>th</t>
    </r>
    <r>
      <rPr>
        <sz val="14"/>
        <color rgb="FF000000"/>
        <rFont val="Book Antiqua"/>
        <family val="1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</si>
  <si>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</si>
  <si>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</si>
  <si>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</si>
  <si>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</si>
  <si>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</si>
  <si>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</si>
  <si>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</si>
  <si>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</si>
  <si>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</si>
  <si>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</si>
  <si>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</si>
  <si>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</si>
  <si>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</si>
  <si>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</si>
  <si>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</si>
  <si>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</si>
  <si>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</si>
  <si>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</si>
  <si>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</si>
  <si>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  <family val="1"/>
      </rPr>
      <t>st</t>
    </r>
    <r>
      <rPr>
        <sz val="14"/>
        <color rgb="FF000000"/>
        <rFont val="Book Antiqua"/>
        <family val="1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</si>
  <si>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</si>
  <si>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</si>
  <si>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</si>
  <si>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</si>
  <si>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</si>
  <si>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</si>
  <si>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</si>
  <si>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</si>
  <si>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LEVOFLOXACIN</t>
  </si>
  <si>
    <t>L11-1</t>
  </si>
  <si>
    <t xml:space="preserve">DR. </t>
  </si>
  <si>
    <t>PETER NGUMO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</si>
</sst>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  <family val="1"/>
    </font>
    <font>
      <sz val="10"/>
      <color rgb="FF000000"/>
      <name val="Book Antiqua"/>
      <family val="1"/>
    </font>
    <font>
      <b/>
      <u/>
      <sz val="14"/>
      <color rgb="FF000000"/>
      <name val="Book Antiqua"/>
      <family val="1"/>
    </font>
    <font>
      <b/>
      <u/>
      <sz val="12"/>
      <color rgb="FF000000"/>
      <name val="Book Antiqua"/>
      <family val="1"/>
    </font>
    <font>
      <b/>
      <sz val="12"/>
      <color rgb="FF000000"/>
      <name val="Book Antiqua"/>
      <family val="1"/>
    </font>
    <font>
      <sz val="12"/>
      <color rgb="FF000000"/>
      <name val="Book Antiqua"/>
      <family val="1"/>
    </font>
    <font>
      <sz val="11"/>
      <color rgb="FF000000"/>
      <name val="Book Antiqua"/>
      <family val="1"/>
    </font>
    <font>
      <b/>
      <sz val="10"/>
      <color rgb="FF000000"/>
      <name val="Arial"/>
      <family val="2"/>
    </font>
    <font>
      <sz val="12"/>
      <color rgb="FF000000"/>
      <name val="Arial"/>
      <family val="2"/>
    </font>
    <font>
      <b/>
      <i/>
      <sz val="10"/>
      <color rgb="FF000000"/>
      <name val="Book Antiqua"/>
      <family val="1"/>
    </font>
    <font>
      <sz val="14"/>
      <color rgb="FF000000"/>
      <name val="Book Antiqua"/>
      <family val="1"/>
    </font>
    <font>
      <b/>
      <sz val="14"/>
      <color rgb="FF000000"/>
      <name val="Book Antiqua"/>
      <family val="1"/>
    </font>
    <font>
      <b/>
      <sz val="20"/>
      <color rgb="FF000000"/>
      <name val="Book Antiqua"/>
      <family val="1"/>
    </font>
    <font>
      <sz val="20"/>
      <color rgb="FF000000"/>
      <name val="Book Antiqua"/>
      <family val="1"/>
    </font>
    <font>
      <b/>
      <sz val="14"/>
      <color rgb="FF000000"/>
      <name val="Calibri"/>
      <family val="2"/>
    </font>
    <font>
      <i/>
      <sz val="14"/>
      <color rgb="FF000000"/>
      <name val="Arial"/>
      <family val="2"/>
    </font>
    <font>
      <i/>
      <sz val="14"/>
      <color rgb="FF000000"/>
      <name val="Book Antiqua"/>
      <family val="1"/>
    </font>
    <font>
      <sz val="14"/>
      <color rgb="FF000000"/>
      <name val="Arial"/>
      <family val="2"/>
    </font>
    <font>
      <b/>
      <i/>
      <sz val="14"/>
      <color rgb="FF000000"/>
      <name val="Book Antiqua"/>
      <family val="1"/>
    </font>
    <font>
      <b/>
      <sz val="36"/>
      <color rgb="FF000000"/>
      <name val="Book Antiqua"/>
      <family val="1"/>
    </font>
    <font>
      <b/>
      <sz val="72"/>
      <color rgb="FF000000"/>
      <name val="Book Antiqua"/>
      <family val="1"/>
    </font>
    <font>
      <b/>
      <sz val="52"/>
      <color rgb="FF000000"/>
      <name val="Book Antiqua"/>
      <family val="1"/>
    </font>
    <font>
      <b/>
      <u/>
      <sz val="16"/>
      <color rgb="FF000000"/>
      <name val="Book Antiqua"/>
      <family val="1"/>
    </font>
    <font>
      <vertAlign val="superscript"/>
      <sz val="14"/>
      <color rgb="FF000000"/>
      <name val="Book Antiqua"/>
      <family val="1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7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0" fillId="2" borderId="0" xfId="0" applyNumberFormat="1" applyFont="1" applyFill="1" applyAlignment="1">
      <alignment horizontal="center"/>
    </xf>
    <xf numFmtId="174" fontId="13" fillId="2" borderId="0" xfId="0" applyNumberFormat="1" applyFont="1" applyFill="1" applyAlignment="1">
      <alignment horizontal="center"/>
    </xf>
    <xf numFmtId="171" fontId="13" fillId="3" borderId="13" xfId="0" applyNumberFormat="1" applyFont="1" applyFill="1" applyBorder="1" applyAlignment="1" applyProtection="1">
      <alignment horizontal="center"/>
      <protection locked="0"/>
    </xf>
    <xf numFmtId="171" fontId="13" fillId="3" borderId="14" xfId="0" applyNumberFormat="1" applyFont="1" applyFill="1" applyBorder="1" applyAlignment="1" applyProtection="1">
      <alignment horizontal="center"/>
      <protection locked="0"/>
    </xf>
    <xf numFmtId="171" fontId="13" fillId="3" borderId="15" xfId="0" applyNumberFormat="1" applyFont="1" applyFill="1" applyBorder="1" applyAlignment="1" applyProtection="1">
      <alignment horizontal="center"/>
      <protection locked="0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3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4:I61"/>
  <sheetViews>
    <sheetView topLeftCell="A15" workbookViewId="0">
      <selection activeCell="B64" sqref="B64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6" t="s">
        <v>0</v>
      </c>
      <c r="B15" s="286"/>
      <c r="C15" s="286"/>
      <c r="D15" s="286"/>
      <c r="E15" s="286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8" t="s">
        <v>131</v>
      </c>
      <c r="C18" s="10"/>
      <c r="D18" s="10"/>
      <c r="E18" s="10"/>
    </row>
    <row r="19" spans="1:6" ht="16.5" customHeight="1" x14ac:dyDescent="0.3">
      <c r="A19" s="11" t="s">
        <v>6</v>
      </c>
      <c r="B19" s="12">
        <v>97</v>
      </c>
      <c r="C19" s="10"/>
      <c r="D19" s="10"/>
      <c r="E19" s="10"/>
    </row>
    <row r="20" spans="1:6" ht="16.5" customHeight="1" x14ac:dyDescent="0.3">
      <c r="A20" s="7" t="s">
        <v>8</v>
      </c>
      <c r="B20" s="12">
        <v>20.100000000000001</v>
      </c>
      <c r="C20" s="10"/>
      <c r="D20" s="10"/>
      <c r="E20" s="10"/>
    </row>
    <row r="21" spans="1:6" ht="16.5" customHeight="1" x14ac:dyDescent="0.3">
      <c r="A21" s="7" t="s">
        <v>10</v>
      </c>
      <c r="B21" s="13">
        <v>0.04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18401133</v>
      </c>
      <c r="C24" s="18">
        <v>5774.5</v>
      </c>
      <c r="D24" s="19">
        <v>1.3</v>
      </c>
      <c r="E24" s="20">
        <v>4.0999999999999996</v>
      </c>
    </row>
    <row r="25" spans="1:6" ht="16.5" customHeight="1" x14ac:dyDescent="0.3">
      <c r="A25" s="17">
        <v>2</v>
      </c>
      <c r="B25" s="18">
        <v>18454570</v>
      </c>
      <c r="C25" s="18">
        <v>5761</v>
      </c>
      <c r="D25" s="19">
        <v>1.3</v>
      </c>
      <c r="E25" s="19">
        <v>4.0999999999999996</v>
      </c>
    </row>
    <row r="26" spans="1:6" ht="16.5" customHeight="1" x14ac:dyDescent="0.3">
      <c r="A26" s="17">
        <v>3</v>
      </c>
      <c r="B26" s="18">
        <v>18415476</v>
      </c>
      <c r="C26" s="18">
        <v>5757.9</v>
      </c>
      <c r="D26" s="19">
        <v>1.4</v>
      </c>
      <c r="E26" s="19">
        <v>4.0999999999999996</v>
      </c>
    </row>
    <row r="27" spans="1:6" ht="16.5" customHeight="1" x14ac:dyDescent="0.3">
      <c r="A27" s="17">
        <v>4</v>
      </c>
      <c r="B27" s="18">
        <v>18416714</v>
      </c>
      <c r="C27" s="18">
        <v>5766.4</v>
      </c>
      <c r="D27" s="19">
        <v>1.3</v>
      </c>
      <c r="E27" s="19">
        <v>4.0999999999999996</v>
      </c>
    </row>
    <row r="28" spans="1:6" ht="16.5" customHeight="1" x14ac:dyDescent="0.3">
      <c r="A28" s="17">
        <v>5</v>
      </c>
      <c r="B28" s="18">
        <v>18561671</v>
      </c>
      <c r="C28" s="18">
        <v>5750.3</v>
      </c>
      <c r="D28" s="19">
        <v>1.3</v>
      </c>
      <c r="E28" s="19">
        <v>4.0999999999999996</v>
      </c>
    </row>
    <row r="29" spans="1:6" ht="16.5" customHeight="1" x14ac:dyDescent="0.3">
      <c r="A29" s="17">
        <v>6</v>
      </c>
      <c r="B29" s="21">
        <v>18549969</v>
      </c>
      <c r="C29" s="21">
        <v>5767.5</v>
      </c>
      <c r="D29" s="22">
        <v>1.3</v>
      </c>
      <c r="E29" s="22">
        <v>4.0999999999999996</v>
      </c>
    </row>
    <row r="30" spans="1:6" ht="16.5" customHeight="1" x14ac:dyDescent="0.3">
      <c r="A30" s="23" t="s">
        <v>18</v>
      </c>
      <c r="B30" s="24">
        <f>AVERAGE(B24:B29)</f>
        <v>18466588.833333332</v>
      </c>
      <c r="C30" s="25">
        <f>AVERAGE(C24:C29)</f>
        <v>5762.9333333333343</v>
      </c>
      <c r="D30" s="26">
        <f>AVERAGE(D24:D29)</f>
        <v>1.3166666666666667</v>
      </c>
      <c r="E30" s="26">
        <f>AVERAGE(E24:E29)</f>
        <v>4.1000000000000005</v>
      </c>
    </row>
    <row r="31" spans="1:6" ht="16.5" customHeight="1" x14ac:dyDescent="0.3">
      <c r="A31" s="27" t="s">
        <v>19</v>
      </c>
      <c r="B31" s="28">
        <f>(STDEV(B24:B29)/B30)</f>
        <v>3.8688692455491167E-3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/>
      <c r="C39" s="10"/>
      <c r="D39" s="10"/>
      <c r="E39" s="10"/>
    </row>
    <row r="40" spans="1:6" ht="16.5" customHeight="1" x14ac:dyDescent="0.3">
      <c r="A40" s="11" t="s">
        <v>6</v>
      </c>
      <c r="B40" s="12"/>
      <c r="C40" s="10"/>
      <c r="D40" s="10"/>
      <c r="E40" s="10"/>
    </row>
    <row r="41" spans="1:6" ht="16.5" customHeight="1" x14ac:dyDescent="0.3">
      <c r="A41" s="7" t="s">
        <v>8</v>
      </c>
      <c r="B41" s="12"/>
      <c r="C41" s="10"/>
      <c r="D41" s="10"/>
      <c r="E41" s="10"/>
    </row>
    <row r="42" spans="1:6" ht="16.5" customHeight="1" x14ac:dyDescent="0.3">
      <c r="A42" s="7" t="s">
        <v>10</v>
      </c>
      <c r="B42" s="13"/>
      <c r="C42" s="10"/>
      <c r="D42" s="10"/>
      <c r="E42" s="10"/>
    </row>
    <row r="43" spans="1:6" ht="15.75" customHeight="1" x14ac:dyDescent="0.25">
      <c r="A43" s="10"/>
      <c r="B43" s="10"/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/>
      <c r="C45" s="18"/>
      <c r="D45" s="19"/>
      <c r="E45" s="20"/>
    </row>
    <row r="46" spans="1:6" ht="16.5" customHeight="1" x14ac:dyDescent="0.3">
      <c r="A46" s="17">
        <v>2</v>
      </c>
      <c r="B46" s="18"/>
      <c r="C46" s="18"/>
      <c r="D46" s="19"/>
      <c r="E46" s="19"/>
    </row>
    <row r="47" spans="1:6" ht="16.5" customHeight="1" x14ac:dyDescent="0.3">
      <c r="A47" s="17">
        <v>3</v>
      </c>
      <c r="B47" s="18"/>
      <c r="C47" s="18"/>
      <c r="D47" s="19"/>
      <c r="E47" s="19"/>
    </row>
    <row r="48" spans="1:6" ht="16.5" customHeight="1" x14ac:dyDescent="0.3">
      <c r="A48" s="17">
        <v>4</v>
      </c>
      <c r="B48" s="18"/>
      <c r="C48" s="18"/>
      <c r="D48" s="19"/>
      <c r="E48" s="19"/>
    </row>
    <row r="49" spans="1:7" ht="16.5" customHeight="1" x14ac:dyDescent="0.3">
      <c r="A49" s="17">
        <v>5</v>
      </c>
      <c r="B49" s="18"/>
      <c r="C49" s="18"/>
      <c r="D49" s="19"/>
      <c r="E49" s="19"/>
    </row>
    <row r="50" spans="1:7" ht="16.5" customHeight="1" x14ac:dyDescent="0.3">
      <c r="A50" s="17">
        <v>6</v>
      </c>
      <c r="B50" s="21"/>
      <c r="C50" s="21"/>
      <c r="D50" s="22"/>
      <c r="E50" s="22"/>
    </row>
    <row r="51" spans="1:7" ht="16.5" customHeight="1" x14ac:dyDescent="0.3">
      <c r="A51" s="23" t="s">
        <v>18</v>
      </c>
      <c r="B51" s="24" t="e">
        <f>AVERAGE(B45:B50)</f>
        <v>#DIV/0!</v>
      </c>
      <c r="C51" s="25" t="e">
        <f>AVERAGE(C45:C50)</f>
        <v>#DIV/0!</v>
      </c>
      <c r="D51" s="26" t="e">
        <f>AVERAGE(D45:D50)</f>
        <v>#DIV/0!</v>
      </c>
      <c r="E51" s="26" t="e">
        <f>AVERAGE(E45:E50)</f>
        <v>#DIV/0!</v>
      </c>
    </row>
    <row r="52" spans="1:7" ht="16.5" customHeight="1" x14ac:dyDescent="0.3">
      <c r="A52" s="27" t="s">
        <v>19</v>
      </c>
      <c r="B52" s="28" t="e">
        <f>(STDEV(B45:B50)/B51)</f>
        <v>#DIV/0!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0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7" t="s">
        <v>26</v>
      </c>
      <c r="C59" s="287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 t="s">
        <v>133</v>
      </c>
      <c r="C60" s="48" t="s">
        <v>134</v>
      </c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0" workbookViewId="0">
      <selection activeCell="I47" sqref="I47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1" t="s">
        <v>31</v>
      </c>
      <c r="B11" s="292"/>
      <c r="C11" s="292"/>
      <c r="D11" s="292"/>
      <c r="E11" s="292"/>
      <c r="F11" s="293"/>
      <c r="G11" s="91"/>
    </row>
    <row r="12" spans="1:7" ht="16.5" customHeight="1" x14ac:dyDescent="0.3">
      <c r="A12" s="290" t="s">
        <v>32</v>
      </c>
      <c r="B12" s="290"/>
      <c r="C12" s="290"/>
      <c r="D12" s="290"/>
      <c r="E12" s="290"/>
      <c r="F12" s="290"/>
      <c r="G12" s="90"/>
    </row>
    <row r="14" spans="1:7" ht="16.5" customHeight="1" x14ac:dyDescent="0.3">
      <c r="A14" s="295" t="s">
        <v>33</v>
      </c>
      <c r="B14" s="295"/>
      <c r="C14" s="60" t="s">
        <v>5</v>
      </c>
    </row>
    <row r="15" spans="1:7" ht="16.5" customHeight="1" x14ac:dyDescent="0.3">
      <c r="A15" s="295" t="s">
        <v>34</v>
      </c>
      <c r="B15" s="295"/>
      <c r="C15" s="60" t="s">
        <v>7</v>
      </c>
    </row>
    <row r="16" spans="1:7" ht="16.5" customHeight="1" x14ac:dyDescent="0.3">
      <c r="A16" s="295" t="s">
        <v>35</v>
      </c>
      <c r="B16" s="295"/>
      <c r="C16" s="60" t="s">
        <v>9</v>
      </c>
    </row>
    <row r="17" spans="1:5" ht="16.5" customHeight="1" x14ac:dyDescent="0.3">
      <c r="A17" s="295" t="s">
        <v>36</v>
      </c>
      <c r="B17" s="295"/>
      <c r="C17" s="60" t="s">
        <v>11</v>
      </c>
    </row>
    <row r="18" spans="1:5" ht="16.5" customHeight="1" x14ac:dyDescent="0.3">
      <c r="A18" s="295" t="s">
        <v>37</v>
      </c>
      <c r="B18" s="295"/>
      <c r="C18" s="97" t="s">
        <v>12</v>
      </c>
    </row>
    <row r="19" spans="1:5" ht="16.5" customHeight="1" x14ac:dyDescent="0.3">
      <c r="A19" s="295" t="s">
        <v>38</v>
      </c>
      <c r="B19" s="295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90" t="s">
        <v>1</v>
      </c>
      <c r="B21" s="290"/>
      <c r="C21" s="59" t="s">
        <v>39</v>
      </c>
      <c r="D21" s="66"/>
    </row>
    <row r="22" spans="1:5" ht="15.75" customHeight="1" x14ac:dyDescent="0.3">
      <c r="A22" s="294"/>
      <c r="B22" s="294"/>
      <c r="C22" s="57"/>
      <c r="D22" s="294"/>
      <c r="E22" s="294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358.84</v>
      </c>
      <c r="D24" s="87">
        <f t="shared" ref="D24:D43" si="0">(C24-$C$46)/$C$46</f>
        <v>-4.8269387834340843E-3</v>
      </c>
      <c r="E24" s="53"/>
    </row>
    <row r="25" spans="1:5" ht="15.75" customHeight="1" x14ac:dyDescent="0.3">
      <c r="C25" s="95">
        <v>362.16</v>
      </c>
      <c r="D25" s="88">
        <f t="shared" si="0"/>
        <v>4.3804365460694515E-3</v>
      </c>
      <c r="E25" s="53"/>
    </row>
    <row r="26" spans="1:5" ht="15.75" customHeight="1" x14ac:dyDescent="0.3">
      <c r="C26" s="95">
        <v>356</v>
      </c>
      <c r="D26" s="88">
        <f t="shared" si="0"/>
        <v>-1.2703127318310416E-2</v>
      </c>
      <c r="E26" s="53"/>
    </row>
    <row r="27" spans="1:5" ht="15.75" customHeight="1" x14ac:dyDescent="0.3">
      <c r="C27" s="95">
        <v>365.3</v>
      </c>
      <c r="D27" s="88">
        <f t="shared" si="0"/>
        <v>1.3088616827587687E-2</v>
      </c>
      <c r="E27" s="53"/>
    </row>
    <row r="28" spans="1:5" ht="15.75" customHeight="1" x14ac:dyDescent="0.3">
      <c r="C28" s="95">
        <v>366.02</v>
      </c>
      <c r="D28" s="88">
        <f t="shared" si="0"/>
        <v>1.50853970195281E-2</v>
      </c>
      <c r="E28" s="53"/>
    </row>
    <row r="29" spans="1:5" ht="15.75" customHeight="1" x14ac:dyDescent="0.3">
      <c r="C29" s="95">
        <v>362.24</v>
      </c>
      <c r="D29" s="88">
        <f t="shared" si="0"/>
        <v>4.6023010118405733E-3</v>
      </c>
      <c r="E29" s="53"/>
    </row>
    <row r="30" spans="1:5" ht="15.75" customHeight="1" x14ac:dyDescent="0.3">
      <c r="C30" s="95">
        <v>360.11</v>
      </c>
      <c r="D30" s="88">
        <f t="shared" si="0"/>
        <v>-1.3048403893167141E-3</v>
      </c>
      <c r="E30" s="53"/>
    </row>
    <row r="31" spans="1:5" ht="15.75" customHeight="1" x14ac:dyDescent="0.3">
      <c r="C31" s="95">
        <v>364.9</v>
      </c>
      <c r="D31" s="88">
        <f t="shared" si="0"/>
        <v>1.197929449873176E-2</v>
      </c>
      <c r="E31" s="53"/>
    </row>
    <row r="32" spans="1:5" ht="15.75" customHeight="1" x14ac:dyDescent="0.3">
      <c r="C32" s="95">
        <v>356.96</v>
      </c>
      <c r="D32" s="88">
        <f t="shared" si="0"/>
        <v>-1.0040753729056478E-2</v>
      </c>
      <c r="E32" s="53"/>
    </row>
    <row r="33" spans="1:7" ht="15.75" customHeight="1" x14ac:dyDescent="0.3">
      <c r="C33" s="95">
        <v>357.04</v>
      </c>
      <c r="D33" s="88">
        <f t="shared" si="0"/>
        <v>-9.8188892632851982E-3</v>
      </c>
      <c r="E33" s="53"/>
    </row>
    <row r="34" spans="1:7" ht="15.75" customHeight="1" x14ac:dyDescent="0.3">
      <c r="C34" s="95">
        <v>357.38</v>
      </c>
      <c r="D34" s="88">
        <f t="shared" si="0"/>
        <v>-8.8759652837578102E-3</v>
      </c>
      <c r="E34" s="53"/>
    </row>
    <row r="35" spans="1:7" ht="15.75" customHeight="1" x14ac:dyDescent="0.3">
      <c r="C35" s="95">
        <v>358.86</v>
      </c>
      <c r="D35" s="88">
        <f t="shared" si="0"/>
        <v>-4.7714726669911859E-3</v>
      </c>
      <c r="E35" s="53"/>
    </row>
    <row r="36" spans="1:7" ht="15.75" customHeight="1" x14ac:dyDescent="0.3">
      <c r="C36" s="95">
        <v>359.09</v>
      </c>
      <c r="D36" s="88">
        <f t="shared" si="0"/>
        <v>-4.1336123278991905E-3</v>
      </c>
      <c r="E36" s="53"/>
    </row>
    <row r="37" spans="1:7" ht="15.75" customHeight="1" x14ac:dyDescent="0.3">
      <c r="C37" s="95">
        <v>358.31</v>
      </c>
      <c r="D37" s="88">
        <f t="shared" si="0"/>
        <v>-6.296790869167985E-3</v>
      </c>
      <c r="E37" s="53"/>
    </row>
    <row r="38" spans="1:7" ht="15.75" customHeight="1" x14ac:dyDescent="0.3">
      <c r="C38" s="95">
        <v>359.12</v>
      </c>
      <c r="D38" s="88">
        <f t="shared" si="0"/>
        <v>-4.0504131532349214E-3</v>
      </c>
      <c r="E38" s="53"/>
    </row>
    <row r="39" spans="1:7" ht="15.75" customHeight="1" x14ac:dyDescent="0.3">
      <c r="C39" s="95">
        <v>362.46</v>
      </c>
      <c r="D39" s="88">
        <f t="shared" si="0"/>
        <v>5.212428292711198E-3</v>
      </c>
      <c r="E39" s="53"/>
    </row>
    <row r="40" spans="1:7" ht="15.75" customHeight="1" x14ac:dyDescent="0.3">
      <c r="C40" s="95">
        <v>354.89</v>
      </c>
      <c r="D40" s="88">
        <f t="shared" si="0"/>
        <v>-1.5781496780885383E-2</v>
      </c>
      <c r="E40" s="53"/>
    </row>
    <row r="41" spans="1:7" ht="15.75" customHeight="1" x14ac:dyDescent="0.3">
      <c r="C41" s="95">
        <v>364.91</v>
      </c>
      <c r="D41" s="88">
        <f t="shared" si="0"/>
        <v>1.2007027556953289E-2</v>
      </c>
      <c r="E41" s="53"/>
    </row>
    <row r="42" spans="1:7" ht="15.75" customHeight="1" x14ac:dyDescent="0.3">
      <c r="C42" s="95">
        <v>365.58</v>
      </c>
      <c r="D42" s="88">
        <f t="shared" si="0"/>
        <v>1.3865142457786693E-2</v>
      </c>
      <c r="E42" s="53"/>
    </row>
    <row r="43" spans="1:7" ht="16.5" customHeight="1" x14ac:dyDescent="0.3">
      <c r="C43" s="96">
        <v>361.44</v>
      </c>
      <c r="D43" s="89">
        <f t="shared" si="0"/>
        <v>2.3836563541288799E-3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7211.6100000000006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360.58050000000003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8">
        <f>C46</f>
        <v>360.58050000000003</v>
      </c>
      <c r="C49" s="93">
        <f>-IF(C46&lt;=80,10%,IF(C46&lt;250,7.5%,5%))</f>
        <v>-0.05</v>
      </c>
      <c r="D49" s="81">
        <f>IF(C46&lt;=80,C46*0.9,IF(C46&lt;250,C46*0.925,C46*0.95))</f>
        <v>342.55147500000004</v>
      </c>
    </row>
    <row r="50" spans="1:6" ht="17.25" customHeight="1" x14ac:dyDescent="0.3">
      <c r="B50" s="289"/>
      <c r="C50" s="94">
        <f>IF(C46&lt;=80, 10%, IF(C46&lt;250, 7.5%, 5%))</f>
        <v>0.05</v>
      </c>
      <c r="D50" s="81">
        <f>IF(C46&lt;=80, C46*1.1, IF(C46&lt;250, C46*1.075, C46*1.05))</f>
        <v>378.60952500000002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B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9" zoomScale="44" zoomScaleNormal="40" zoomScalePageLayoutView="44" workbookViewId="0">
      <selection activeCell="K63" sqref="K63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6" t="s">
        <v>45</v>
      </c>
      <c r="B1" s="296"/>
      <c r="C1" s="296"/>
      <c r="D1" s="296"/>
      <c r="E1" s="296"/>
      <c r="F1" s="296"/>
      <c r="G1" s="296"/>
      <c r="H1" s="296"/>
      <c r="I1" s="296"/>
    </row>
    <row r="2" spans="1:9" ht="18.75" customHeight="1" x14ac:dyDescent="0.25">
      <c r="A2" s="296"/>
      <c r="B2" s="296"/>
      <c r="C2" s="296"/>
      <c r="D2" s="296"/>
      <c r="E2" s="296"/>
      <c r="F2" s="296"/>
      <c r="G2" s="296"/>
      <c r="H2" s="296"/>
      <c r="I2" s="296"/>
    </row>
    <row r="3" spans="1:9" ht="18.75" customHeight="1" x14ac:dyDescent="0.25">
      <c r="A3" s="296"/>
      <c r="B3" s="296"/>
      <c r="C3" s="296"/>
      <c r="D3" s="296"/>
      <c r="E3" s="296"/>
      <c r="F3" s="296"/>
      <c r="G3" s="296"/>
      <c r="H3" s="296"/>
      <c r="I3" s="296"/>
    </row>
    <row r="4" spans="1:9" ht="18.75" customHeight="1" x14ac:dyDescent="0.25">
      <c r="A4" s="296"/>
      <c r="B4" s="296"/>
      <c r="C4" s="296"/>
      <c r="D4" s="296"/>
      <c r="E4" s="296"/>
      <c r="F4" s="296"/>
      <c r="G4" s="296"/>
      <c r="H4" s="296"/>
      <c r="I4" s="296"/>
    </row>
    <row r="5" spans="1:9" ht="18.75" customHeight="1" x14ac:dyDescent="0.25">
      <c r="A5" s="296"/>
      <c r="B5" s="296"/>
      <c r="C5" s="296"/>
      <c r="D5" s="296"/>
      <c r="E5" s="296"/>
      <c r="F5" s="296"/>
      <c r="G5" s="296"/>
      <c r="H5" s="296"/>
      <c r="I5" s="296"/>
    </row>
    <row r="6" spans="1:9" ht="18.75" customHeight="1" x14ac:dyDescent="0.25">
      <c r="A6" s="296"/>
      <c r="B6" s="296"/>
      <c r="C6" s="296"/>
      <c r="D6" s="296"/>
      <c r="E6" s="296"/>
      <c r="F6" s="296"/>
      <c r="G6" s="296"/>
      <c r="H6" s="296"/>
      <c r="I6" s="296"/>
    </row>
    <row r="7" spans="1:9" ht="18.75" customHeight="1" x14ac:dyDescent="0.25">
      <c r="A7" s="296"/>
      <c r="B7" s="296"/>
      <c r="C7" s="296"/>
      <c r="D7" s="296"/>
      <c r="E7" s="296"/>
      <c r="F7" s="296"/>
      <c r="G7" s="296"/>
      <c r="H7" s="296"/>
      <c r="I7" s="296"/>
    </row>
    <row r="8" spans="1:9" x14ac:dyDescent="0.25">
      <c r="A8" s="297" t="s">
        <v>46</v>
      </c>
      <c r="B8" s="297"/>
      <c r="C8" s="297"/>
      <c r="D8" s="297"/>
      <c r="E8" s="297"/>
      <c r="F8" s="297"/>
      <c r="G8" s="297"/>
      <c r="H8" s="297"/>
      <c r="I8" s="297"/>
    </row>
    <row r="9" spans="1:9" x14ac:dyDescent="0.25">
      <c r="A9" s="297"/>
      <c r="B9" s="297"/>
      <c r="C9" s="297"/>
      <c r="D9" s="297"/>
      <c r="E9" s="297"/>
      <c r="F9" s="297"/>
      <c r="G9" s="297"/>
      <c r="H9" s="297"/>
      <c r="I9" s="297"/>
    </row>
    <row r="10" spans="1:9" x14ac:dyDescent="0.25">
      <c r="A10" s="297"/>
      <c r="B10" s="297"/>
      <c r="C10" s="297"/>
      <c r="D10" s="297"/>
      <c r="E10" s="297"/>
      <c r="F10" s="297"/>
      <c r="G10" s="297"/>
      <c r="H10" s="297"/>
      <c r="I10" s="297"/>
    </row>
    <row r="11" spans="1:9" x14ac:dyDescent="0.25">
      <c r="A11" s="297"/>
      <c r="B11" s="297"/>
      <c r="C11" s="297"/>
      <c r="D11" s="297"/>
      <c r="E11" s="297"/>
      <c r="F11" s="297"/>
      <c r="G11" s="297"/>
      <c r="H11" s="297"/>
      <c r="I11" s="297"/>
    </row>
    <row r="12" spans="1:9" x14ac:dyDescent="0.25">
      <c r="A12" s="297"/>
      <c r="B12" s="297"/>
      <c r="C12" s="297"/>
      <c r="D12" s="297"/>
      <c r="E12" s="297"/>
      <c r="F12" s="297"/>
      <c r="G12" s="297"/>
      <c r="H12" s="297"/>
      <c r="I12" s="297"/>
    </row>
    <row r="13" spans="1:9" x14ac:dyDescent="0.25">
      <c r="A13" s="297"/>
      <c r="B13" s="297"/>
      <c r="C13" s="297"/>
      <c r="D13" s="297"/>
      <c r="E13" s="297"/>
      <c r="F13" s="297"/>
      <c r="G13" s="297"/>
      <c r="H13" s="297"/>
      <c r="I13" s="297"/>
    </row>
    <row r="14" spans="1:9" x14ac:dyDescent="0.25">
      <c r="A14" s="297"/>
      <c r="B14" s="297"/>
      <c r="C14" s="297"/>
      <c r="D14" s="297"/>
      <c r="E14" s="297"/>
      <c r="F14" s="297"/>
      <c r="G14" s="297"/>
      <c r="H14" s="297"/>
      <c r="I14" s="297"/>
    </row>
    <row r="15" spans="1:9" ht="19.5" customHeight="1" x14ac:dyDescent="0.3">
      <c r="A15" s="98"/>
    </row>
    <row r="16" spans="1:9" ht="19.5" customHeight="1" x14ac:dyDescent="0.3">
      <c r="A16" s="329" t="s">
        <v>31</v>
      </c>
      <c r="B16" s="330"/>
      <c r="C16" s="330"/>
      <c r="D16" s="330"/>
      <c r="E16" s="330"/>
      <c r="F16" s="330"/>
      <c r="G16" s="330"/>
      <c r="H16" s="331"/>
    </row>
    <row r="17" spans="1:14" ht="20.25" customHeight="1" x14ac:dyDescent="0.25">
      <c r="A17" s="332" t="s">
        <v>47</v>
      </c>
      <c r="B17" s="332"/>
      <c r="C17" s="332"/>
      <c r="D17" s="332"/>
      <c r="E17" s="332"/>
      <c r="F17" s="332"/>
      <c r="G17" s="332"/>
      <c r="H17" s="332"/>
    </row>
    <row r="18" spans="1:14" ht="26.25" customHeight="1" x14ac:dyDescent="0.4">
      <c r="A18" s="100" t="s">
        <v>33</v>
      </c>
      <c r="B18" s="328" t="s">
        <v>5</v>
      </c>
      <c r="C18" s="328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3" t="s">
        <v>9</v>
      </c>
      <c r="C20" s="333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3" t="s">
        <v>11</v>
      </c>
      <c r="C21" s="333"/>
      <c r="D21" s="333"/>
      <c r="E21" s="333"/>
      <c r="F21" s="333"/>
      <c r="G21" s="333"/>
      <c r="H21" s="333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>
        <v>43046</v>
      </c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8" t="s">
        <v>9</v>
      </c>
      <c r="C26" s="328"/>
    </row>
    <row r="27" spans="1:14" ht="26.25" customHeight="1" x14ac:dyDescent="0.4">
      <c r="A27" s="109" t="s">
        <v>48</v>
      </c>
      <c r="B27" s="334" t="s">
        <v>132</v>
      </c>
      <c r="C27" s="334"/>
    </row>
    <row r="28" spans="1:14" ht="27" customHeight="1" x14ac:dyDescent="0.4">
      <c r="A28" s="109" t="s">
        <v>6</v>
      </c>
      <c r="B28" s="110">
        <v>97</v>
      </c>
    </row>
    <row r="29" spans="1:14" s="14" customFormat="1" ht="27" customHeight="1" x14ac:dyDescent="0.4">
      <c r="A29" s="109" t="s">
        <v>49</v>
      </c>
      <c r="B29" s="111">
        <v>0</v>
      </c>
      <c r="C29" s="304" t="s">
        <v>50</v>
      </c>
      <c r="D29" s="305"/>
      <c r="E29" s="305"/>
      <c r="F29" s="305"/>
      <c r="G29" s="306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97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7" t="s">
        <v>53</v>
      </c>
      <c r="D31" s="308"/>
      <c r="E31" s="308"/>
      <c r="F31" s="308"/>
      <c r="G31" s="308"/>
      <c r="H31" s="309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7" t="s">
        <v>55</v>
      </c>
      <c r="D32" s="308"/>
      <c r="E32" s="308"/>
      <c r="F32" s="308"/>
      <c r="G32" s="308"/>
      <c r="H32" s="309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10" t="s">
        <v>59</v>
      </c>
      <c r="E36" s="335"/>
      <c r="F36" s="310" t="s">
        <v>60</v>
      </c>
      <c r="G36" s="311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2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20</v>
      </c>
      <c r="C38" s="131">
        <v>1</v>
      </c>
      <c r="D38" s="132">
        <v>18325189</v>
      </c>
      <c r="E38" s="133">
        <f>IF(ISBLANK(D38),"-",$D$48/$D$45*D38)</f>
        <v>18797957.634507872</v>
      </c>
      <c r="F38" s="132">
        <v>19943193</v>
      </c>
      <c r="G38" s="134">
        <f>IF(ISBLANK(F38),"-",$D$48/$F$45*F38)</f>
        <v>18793412.050735973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18255714</v>
      </c>
      <c r="E39" s="138">
        <f>IF(ISBLANK(D39),"-",$D$48/$D$45*D39)</f>
        <v>18726690.260040004</v>
      </c>
      <c r="F39" s="137">
        <v>20030747</v>
      </c>
      <c r="G39" s="139">
        <f>IF(ISBLANK(F39),"-",$D$48/$F$45*F39)</f>
        <v>18875918.317344841</v>
      </c>
      <c r="I39" s="312">
        <f>ABS((F43/D43*D42)-F42)/D42</f>
        <v>6.8087093687576039E-3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18202135</v>
      </c>
      <c r="E40" s="138">
        <f>IF(ISBLANK(D40),"-",$D$48/$D$45*D40)</f>
        <v>18671728.983946245</v>
      </c>
      <c r="F40" s="137">
        <v>20033533</v>
      </c>
      <c r="G40" s="139">
        <f>IF(ISBLANK(F40),"-",$D$48/$F$45*F40)</f>
        <v>18878543.696639586</v>
      </c>
      <c r="I40" s="312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18261012.666666668</v>
      </c>
      <c r="E42" s="148">
        <f>AVERAGE(E38:E41)</f>
        <v>18732125.626164708</v>
      </c>
      <c r="F42" s="147">
        <f>AVERAGE(F38:F41)</f>
        <v>20002491</v>
      </c>
      <c r="G42" s="149">
        <f>AVERAGE(G38:G41)</f>
        <v>18849291.354906797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20.100000000000001</v>
      </c>
      <c r="E43" s="140"/>
      <c r="F43" s="152">
        <v>21.88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20.100000000000001</v>
      </c>
      <c r="E44" s="155"/>
      <c r="F44" s="154">
        <f>F43*$B$34</f>
        <v>21.88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500</v>
      </c>
      <c r="C45" s="153" t="s">
        <v>77</v>
      </c>
      <c r="D45" s="157">
        <f>D44*$B$30/100</f>
        <v>19.497</v>
      </c>
      <c r="E45" s="158"/>
      <c r="F45" s="157">
        <f>F44*$B$30/100</f>
        <v>21.223600000000001</v>
      </c>
      <c r="H45" s="150"/>
    </row>
    <row r="46" spans="1:14" ht="19.5" customHeight="1" x14ac:dyDescent="0.3">
      <c r="A46" s="298" t="s">
        <v>78</v>
      </c>
      <c r="B46" s="299"/>
      <c r="C46" s="153" t="s">
        <v>79</v>
      </c>
      <c r="D46" s="159">
        <f>D45/$B$45</f>
        <v>3.8994000000000001E-2</v>
      </c>
      <c r="E46" s="160"/>
      <c r="F46" s="161">
        <f>F45/$B$45</f>
        <v>4.2447200000000004E-2</v>
      </c>
      <c r="H46" s="150"/>
    </row>
    <row r="47" spans="1:14" ht="27" customHeight="1" x14ac:dyDescent="0.4">
      <c r="A47" s="300"/>
      <c r="B47" s="301"/>
      <c r="C47" s="162" t="s">
        <v>80</v>
      </c>
      <c r="D47" s="163">
        <v>0.04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20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20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18790708.490535755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4.3423926766490784E-3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Each film coated tablets contains 256.24 mg  of Levofloxacin hemihydrate equivalent to 250 mg</v>
      </c>
    </row>
    <row r="56" spans="1:12" ht="26.25" customHeight="1" x14ac:dyDescent="0.4">
      <c r="A56" s="177" t="s">
        <v>87</v>
      </c>
      <c r="B56" s="178">
        <v>250</v>
      </c>
      <c r="C56" s="99" t="str">
        <f>B20</f>
        <v>Levofloxacin</v>
      </c>
      <c r="H56" s="179"/>
    </row>
    <row r="57" spans="1:12" ht="18.75" x14ac:dyDescent="0.3">
      <c r="A57" s="176" t="s">
        <v>88</v>
      </c>
      <c r="B57" s="247">
        <f>Uniformity!C46</f>
        <v>360.58050000000003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100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2</v>
      </c>
      <c r="C60" s="315" t="s">
        <v>94</v>
      </c>
      <c r="D60" s="318">
        <v>146.32</v>
      </c>
      <c r="E60" s="182">
        <v>1</v>
      </c>
      <c r="F60" s="183">
        <v>19548940</v>
      </c>
      <c r="G60" s="248">
        <f>IF(ISBLANK(F60),"-",(F60/$D$50*$D$47*$B$68)*($B$57/$D$60))</f>
        <v>256.37672921825589</v>
      </c>
      <c r="H60" s="266">
        <f t="shared" ref="H60:H71" si="0">IF(ISBLANK(F60),"-",(G60/$B$56)*100)</f>
        <v>102.55069168730235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6"/>
      <c r="D61" s="319"/>
      <c r="E61" s="184">
        <v>2</v>
      </c>
      <c r="F61" s="137">
        <v>19619596</v>
      </c>
      <c r="G61" s="249">
        <f>IF(ISBLANK(F61),"-",(F61/$D$50*$D$47*$B$68)*($B$57/$D$60))</f>
        <v>257.30335512122787</v>
      </c>
      <c r="H61" s="267">
        <f t="shared" si="0"/>
        <v>102.92134204849116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6"/>
      <c r="D62" s="319"/>
      <c r="E62" s="184">
        <v>3</v>
      </c>
      <c r="F62" s="185">
        <v>19613574</v>
      </c>
      <c r="G62" s="249">
        <f>IF(ISBLANK(F62),"-",(F62/$D$50*$D$47*$B$68)*($B$57/$D$60))</f>
        <v>257.2243789382045</v>
      </c>
      <c r="H62" s="267">
        <f t="shared" si="0"/>
        <v>102.88975157528179</v>
      </c>
      <c r="L62" s="112"/>
    </row>
    <row r="63" spans="1:12" ht="27" customHeight="1" x14ac:dyDescent="0.4">
      <c r="A63" s="124" t="s">
        <v>97</v>
      </c>
      <c r="B63" s="125">
        <v>1</v>
      </c>
      <c r="C63" s="325"/>
      <c r="D63" s="320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5" t="s">
        <v>99</v>
      </c>
      <c r="D64" s="318">
        <v>147.33000000000001</v>
      </c>
      <c r="E64" s="182">
        <v>1</v>
      </c>
      <c r="F64" s="183">
        <v>20604773</v>
      </c>
      <c r="G64" s="248">
        <f>IF(ISBLANK(F64),"-",(F64/$D$50*$D$47*$B$68)*($B$57/$D$64))</f>
        <v>268.37108802995351</v>
      </c>
      <c r="H64" s="266">
        <f t="shared" si="0"/>
        <v>107.34843521198141</v>
      </c>
    </row>
    <row r="65" spans="1:8" ht="26.25" customHeight="1" x14ac:dyDescent="0.4">
      <c r="A65" s="124" t="s">
        <v>100</v>
      </c>
      <c r="B65" s="125">
        <v>1</v>
      </c>
      <c r="C65" s="316"/>
      <c r="D65" s="319"/>
      <c r="E65" s="184">
        <v>2</v>
      </c>
      <c r="F65" s="137">
        <v>20267061</v>
      </c>
      <c r="G65" s="249">
        <f>IF(ISBLANK(F65),"-",(F65/$D$50*$D$47*$B$68)*($B$57/$D$64))</f>
        <v>263.97248888592162</v>
      </c>
      <c r="H65" s="267">
        <f t="shared" si="0"/>
        <v>105.58899555436865</v>
      </c>
    </row>
    <row r="66" spans="1:8" ht="26.25" customHeight="1" x14ac:dyDescent="0.4">
      <c r="A66" s="124" t="s">
        <v>101</v>
      </c>
      <c r="B66" s="125">
        <v>1</v>
      </c>
      <c r="C66" s="316"/>
      <c r="D66" s="319"/>
      <c r="E66" s="184">
        <v>3</v>
      </c>
      <c r="F66" s="137">
        <v>20219058</v>
      </c>
      <c r="G66" s="249">
        <f>IF(ISBLANK(F66),"-",(F66/$D$50*$D$47*$B$68)*($B$57/$D$64))</f>
        <v>263.34726397620278</v>
      </c>
      <c r="H66" s="267">
        <f t="shared" si="0"/>
        <v>105.33890559048112</v>
      </c>
    </row>
    <row r="67" spans="1:8" ht="27" customHeight="1" x14ac:dyDescent="0.4">
      <c r="A67" s="124" t="s">
        <v>102</v>
      </c>
      <c r="B67" s="125">
        <v>1</v>
      </c>
      <c r="C67" s="325"/>
      <c r="D67" s="320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315" t="s">
        <v>104</v>
      </c>
      <c r="D68" s="318">
        <v>146.22</v>
      </c>
      <c r="E68" s="182">
        <v>1</v>
      </c>
      <c r="F68" s="183">
        <v>20158934</v>
      </c>
      <c r="G68" s="248">
        <f>IF(ISBLANK(F68),"-",(F68/$D$50*$D$47*$B$68)*($B$57/$D$68))</f>
        <v>264.55737018104583</v>
      </c>
      <c r="H68" s="267">
        <f t="shared" si="0"/>
        <v>105.82294807241833</v>
      </c>
    </row>
    <row r="69" spans="1:8" ht="27" customHeight="1" x14ac:dyDescent="0.4">
      <c r="A69" s="172" t="s">
        <v>105</v>
      </c>
      <c r="B69" s="189">
        <f>(D47*B68)/B56*B57</f>
        <v>144.23220000000001</v>
      </c>
      <c r="C69" s="316"/>
      <c r="D69" s="319"/>
      <c r="E69" s="184">
        <v>2</v>
      </c>
      <c r="F69" s="137">
        <v>20082839</v>
      </c>
      <c r="G69" s="249">
        <f>IF(ISBLANK(F69),"-",(F69/$D$50*$D$47*$B$68)*($B$57/$D$68))</f>
        <v>263.55873140957482</v>
      </c>
      <c r="H69" s="267">
        <f t="shared" si="0"/>
        <v>105.42349256382992</v>
      </c>
    </row>
    <row r="70" spans="1:8" ht="26.25" customHeight="1" x14ac:dyDescent="0.4">
      <c r="A70" s="321" t="s">
        <v>78</v>
      </c>
      <c r="B70" s="322"/>
      <c r="C70" s="316"/>
      <c r="D70" s="319"/>
      <c r="E70" s="184">
        <v>3</v>
      </c>
      <c r="F70" s="137">
        <v>20023475</v>
      </c>
      <c r="G70" s="249">
        <f>IF(ISBLANK(F70),"-",(F70/$D$50*$D$47*$B$68)*($B$57/$D$68))</f>
        <v>262.77966324439171</v>
      </c>
      <c r="H70" s="267">
        <f t="shared" si="0"/>
        <v>105.11186529775669</v>
      </c>
    </row>
    <row r="71" spans="1:8" ht="27" customHeight="1" x14ac:dyDescent="0.4">
      <c r="A71" s="323"/>
      <c r="B71" s="324"/>
      <c r="C71" s="317"/>
      <c r="D71" s="320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261.94345211164205</v>
      </c>
      <c r="H72" s="269">
        <f>AVERAGE(H60:H71)</f>
        <v>104.77738084465682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1.5526707595189893E-2</v>
      </c>
      <c r="H73" s="253">
        <f>STDEV(H60:H71)/H72</f>
        <v>1.5526707595189919E-2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02" t="str">
        <f>B26</f>
        <v>Levofloxacin</v>
      </c>
      <c r="D76" s="302"/>
      <c r="E76" s="198" t="s">
        <v>108</v>
      </c>
      <c r="F76" s="198"/>
      <c r="G76" s="282">
        <f>H72</f>
        <v>104.77738084465682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6" t="str">
        <f>B26</f>
        <v>Levofloxacin</v>
      </c>
      <c r="C79" s="336"/>
    </row>
    <row r="80" spans="1:8" ht="26.25" customHeight="1" x14ac:dyDescent="0.4">
      <c r="A80" s="109" t="s">
        <v>48</v>
      </c>
      <c r="B80" s="336" t="str">
        <f>B27</f>
        <v>L11-1</v>
      </c>
      <c r="C80" s="336"/>
    </row>
    <row r="81" spans="1:12" ht="27" customHeight="1" x14ac:dyDescent="0.4">
      <c r="A81" s="109" t="s">
        <v>6</v>
      </c>
      <c r="B81" s="201">
        <f>B28</f>
        <v>97</v>
      </c>
    </row>
    <row r="82" spans="1:12" s="14" customFormat="1" ht="27" customHeight="1" x14ac:dyDescent="0.4">
      <c r="A82" s="109" t="s">
        <v>49</v>
      </c>
      <c r="B82" s="111">
        <v>0</v>
      </c>
      <c r="C82" s="304" t="s">
        <v>50</v>
      </c>
      <c r="D82" s="305"/>
      <c r="E82" s="305"/>
      <c r="F82" s="305"/>
      <c r="G82" s="306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97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7" t="s">
        <v>111</v>
      </c>
      <c r="D84" s="308"/>
      <c r="E84" s="308"/>
      <c r="F84" s="308"/>
      <c r="G84" s="308"/>
      <c r="H84" s="309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7" t="s">
        <v>112</v>
      </c>
      <c r="D85" s="308"/>
      <c r="E85" s="308"/>
      <c r="F85" s="308"/>
      <c r="G85" s="308"/>
      <c r="H85" s="309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10" t="s">
        <v>60</v>
      </c>
      <c r="G89" s="311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100</v>
      </c>
      <c r="C91" s="206">
        <v>1</v>
      </c>
      <c r="D91" s="132">
        <v>0.35499999999999998</v>
      </c>
      <c r="E91" s="133">
        <f>IF(ISBLANK(D91),"-",$D$101/$D$98*D91)</f>
        <v>0.5067843434187701</v>
      </c>
      <c r="F91" s="132">
        <v>0.36199999999999999</v>
      </c>
      <c r="G91" s="134">
        <f>IF(ISBLANK(F91),"-",$D$101/$F$98*F91)</f>
        <v>0.51472453421695319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0.35399999999999998</v>
      </c>
      <c r="E92" s="138">
        <f>IF(ISBLANK(D92),"-",$D$101/$D$98*D92)</f>
        <v>0.50535678188801292</v>
      </c>
      <c r="F92" s="137">
        <v>0.35899999999999999</v>
      </c>
      <c r="G92" s="139">
        <f>IF(ISBLANK(F92),"-",$D$101/$F$98*F92)</f>
        <v>0.51045886128145357</v>
      </c>
      <c r="I92" s="312">
        <f>ABS((F96/D96*D95)-F95)/D95</f>
        <v>1.0109708468578915E-2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0.35499999999999998</v>
      </c>
      <c r="E93" s="138">
        <f>IF(ISBLANK(D93),"-",$D$101/$D$98*D93)</f>
        <v>0.5067843434187701</v>
      </c>
      <c r="F93" s="137">
        <v>0.35799999999999998</v>
      </c>
      <c r="G93" s="139">
        <f>IF(ISBLANK(F93),"-",$D$101/$F$98*F93)</f>
        <v>0.5090369703029537</v>
      </c>
      <c r="I93" s="312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0.35466666666666669</v>
      </c>
      <c r="E95" s="148">
        <f>AVERAGE(E91:E94)</f>
        <v>0.50630848957518426</v>
      </c>
      <c r="F95" s="211">
        <f>AVERAGE(F91:F94)</f>
        <v>0.35966666666666663</v>
      </c>
      <c r="G95" s="212">
        <f>AVERAGE(G91:G94)</f>
        <v>0.51140678860045341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20.059999999999999</v>
      </c>
      <c r="E96" s="140"/>
      <c r="F96" s="152">
        <v>20.14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20.059999999999999</v>
      </c>
      <c r="E97" s="155"/>
      <c r="F97" s="154">
        <f>F96*$B$87</f>
        <v>20.14</v>
      </c>
    </row>
    <row r="98" spans="1:10" ht="19.5" customHeight="1" x14ac:dyDescent="0.3">
      <c r="A98" s="124" t="s">
        <v>76</v>
      </c>
      <c r="B98" s="217">
        <f>(B97/B96)*(B95/B94)*(B93/B92)*(B91/B90)*B89</f>
        <v>5000</v>
      </c>
      <c r="C98" s="215" t="s">
        <v>115</v>
      </c>
      <c r="D98" s="218">
        <f>D97*$B$83/100</f>
        <v>19.458199999999998</v>
      </c>
      <c r="E98" s="158"/>
      <c r="F98" s="157">
        <f>F97*$B$83/100</f>
        <v>19.535800000000002</v>
      </c>
    </row>
    <row r="99" spans="1:10" ht="19.5" customHeight="1" x14ac:dyDescent="0.3">
      <c r="A99" s="298" t="s">
        <v>78</v>
      </c>
      <c r="B99" s="313"/>
      <c r="C99" s="215" t="s">
        <v>116</v>
      </c>
      <c r="D99" s="219">
        <f>D98/$B$98</f>
        <v>3.8916399999999996E-3</v>
      </c>
      <c r="E99" s="158"/>
      <c r="F99" s="161">
        <f>F98/$B$98</f>
        <v>3.9071600000000007E-3</v>
      </c>
      <c r="G99" s="220"/>
      <c r="H99" s="150"/>
    </row>
    <row r="100" spans="1:10" ht="19.5" customHeight="1" x14ac:dyDescent="0.3">
      <c r="A100" s="300"/>
      <c r="B100" s="314"/>
      <c r="C100" s="215" t="s">
        <v>80</v>
      </c>
      <c r="D100" s="221">
        <f>$B$56/$B$116</f>
        <v>5.5555555555555558E-3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27.777777777777779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27.777777777777779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0.50885763908781889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6.6856570598502274E-3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2</v>
      </c>
      <c r="C108" s="273">
        <v>1</v>
      </c>
      <c r="D108" s="283">
        <v>0.52100000000000002</v>
      </c>
      <c r="E108" s="250">
        <f t="shared" ref="E108:E113" si="1">IF(ISBLANK(D108),"-",D108/$D$103*$D$100*$B$116)</f>
        <v>255.9654999647581</v>
      </c>
      <c r="F108" s="274">
        <f t="shared" ref="F108:F113" si="2">IF(ISBLANK(D108), "-", (E108/$B$56)*100)</f>
        <v>102.38619998590323</v>
      </c>
    </row>
    <row r="109" spans="1:10" ht="26.25" customHeight="1" x14ac:dyDescent="0.4">
      <c r="A109" s="124" t="s">
        <v>95</v>
      </c>
      <c r="B109" s="125">
        <v>100</v>
      </c>
      <c r="C109" s="271">
        <v>2</v>
      </c>
      <c r="D109" s="284">
        <v>0.52100000000000002</v>
      </c>
      <c r="E109" s="251">
        <f t="shared" si="1"/>
        <v>255.9654999647581</v>
      </c>
      <c r="F109" s="275">
        <f t="shared" si="2"/>
        <v>102.38619998590323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84">
        <v>0.51900000000000002</v>
      </c>
      <c r="E110" s="251">
        <f t="shared" si="1"/>
        <v>254.98290687468227</v>
      </c>
      <c r="F110" s="275">
        <f t="shared" si="2"/>
        <v>101.99316274987291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84">
        <v>0.52100000000000002</v>
      </c>
      <c r="E111" s="251">
        <f t="shared" si="1"/>
        <v>255.9654999647581</v>
      </c>
      <c r="F111" s="275">
        <f t="shared" si="2"/>
        <v>102.38619998590323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84">
        <v>0.52600000000000002</v>
      </c>
      <c r="E112" s="251">
        <f t="shared" si="1"/>
        <v>258.42198268994775</v>
      </c>
      <c r="F112" s="275">
        <f t="shared" si="2"/>
        <v>103.3687930759791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85">
        <v>0.52800000000000002</v>
      </c>
      <c r="E113" s="252">
        <f t="shared" si="1"/>
        <v>259.40457578002361</v>
      </c>
      <c r="F113" s="276">
        <f t="shared" si="2"/>
        <v>103.76183031200945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77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256.78432753982133</v>
      </c>
      <c r="F115" s="278">
        <f>AVERAGE(F108:F113)</f>
        <v>102.71373101592853</v>
      </c>
    </row>
    <row r="116" spans="1:10" ht="27" customHeight="1" x14ac:dyDescent="0.4">
      <c r="A116" s="124" t="s">
        <v>103</v>
      </c>
      <c r="B116" s="156">
        <f>(B115/B114)*(B113/B112)*(B111/B110)*(B109/B108)*B107</f>
        <v>45000</v>
      </c>
      <c r="C116" s="234"/>
      <c r="D116" s="258" t="s">
        <v>84</v>
      </c>
      <c r="E116" s="256">
        <f>STDEV(E108:E113)/E115</f>
        <v>6.7009824166141983E-3</v>
      </c>
      <c r="F116" s="235">
        <f>STDEV(F108:F113)/F115</f>
        <v>6.7009824166142347E-3</v>
      </c>
      <c r="I116" s="98"/>
    </row>
    <row r="117" spans="1:10" ht="27" customHeight="1" x14ac:dyDescent="0.4">
      <c r="A117" s="298" t="s">
        <v>78</v>
      </c>
      <c r="B117" s="299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300"/>
      <c r="B118" s="301"/>
      <c r="C118" s="98"/>
      <c r="D118" s="260"/>
      <c r="E118" s="326" t="s">
        <v>123</v>
      </c>
      <c r="F118" s="327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254.98290687468227</v>
      </c>
      <c r="F119" s="279">
        <f>MIN(F108:F113)</f>
        <v>101.99316274987291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259.40457578002361</v>
      </c>
      <c r="F120" s="280">
        <f>MAX(F108:F113)</f>
        <v>103.76183031200945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2" t="str">
        <f>B26</f>
        <v>Levofloxacin</v>
      </c>
      <c r="D124" s="302"/>
      <c r="E124" s="198" t="s">
        <v>127</v>
      </c>
      <c r="F124" s="198"/>
      <c r="G124" s="281">
        <f>F115</f>
        <v>102.71373101592853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1">
        <f>MIN(F108:F113)</f>
        <v>101.99316274987291</v>
      </c>
      <c r="E125" s="209" t="s">
        <v>130</v>
      </c>
      <c r="F125" s="281">
        <f>MAX(F108:F113)</f>
        <v>103.76183031200945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3" t="s">
        <v>26</v>
      </c>
      <c r="C127" s="303"/>
      <c r="E127" s="204" t="s">
        <v>27</v>
      </c>
      <c r="F127" s="239"/>
      <c r="G127" s="303" t="s">
        <v>28</v>
      </c>
      <c r="H127" s="303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LEVOFLOXACIN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Peter Mwangi ngumo</cp:lastModifiedBy>
  <cp:lastPrinted>2017-11-08T08:05:04Z</cp:lastPrinted>
  <dcterms:created xsi:type="dcterms:W3CDTF">2005-07-05T10:19:27Z</dcterms:created>
  <dcterms:modified xsi:type="dcterms:W3CDTF">2017-11-08T08:15:49Z</dcterms:modified>
</cp:coreProperties>
</file>