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NQCL MUTERU\Analysis\Analysis Worsheet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LEVOFLOXACIN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0" i="2" l="1"/>
  <c r="B57" i="3"/>
  <c r="I92" i="3"/>
  <c r="D101" i="3"/>
  <c r="E91" i="3" s="1"/>
  <c r="F97" i="3"/>
  <c r="B69" i="3"/>
  <c r="D44" i="3"/>
  <c r="D45" i="3" s="1"/>
  <c r="D46" i="3" s="1"/>
  <c r="F45" i="3"/>
  <c r="F46" i="3" s="1"/>
  <c r="D98" i="3"/>
  <c r="D99" i="3" s="1"/>
  <c r="F98" i="3"/>
  <c r="F99" i="3" s="1"/>
  <c r="G40" i="3"/>
  <c r="D49" i="3"/>
  <c r="D102" i="3" l="1"/>
  <c r="G39" i="3"/>
  <c r="G92" i="3"/>
  <c r="G91" i="3"/>
  <c r="E94" i="3"/>
  <c r="E92" i="3"/>
  <c r="G93" i="3"/>
  <c r="G94" i="3"/>
  <c r="G41" i="3"/>
  <c r="E41" i="3"/>
  <c r="E40" i="3"/>
  <c r="G38" i="3"/>
  <c r="E38" i="3"/>
  <c r="E39" i="3"/>
  <c r="E93" i="3"/>
  <c r="E95" i="3" l="1"/>
  <c r="D105" i="3"/>
  <c r="G95" i="3"/>
  <c r="D103" i="3"/>
  <c r="E111" i="3" s="1"/>
  <c r="F111" i="3" s="1"/>
  <c r="G42" i="3"/>
  <c r="D52" i="3"/>
  <c r="E42" i="3"/>
  <c r="D50" i="3"/>
  <c r="G65" i="3" s="1"/>
  <c r="H65" i="3" s="1"/>
  <c r="E112" i="3" l="1"/>
  <c r="F112" i="3" s="1"/>
  <c r="E113" i="3"/>
  <c r="F113" i="3" s="1"/>
  <c r="G64" i="3"/>
  <c r="H64" i="3" s="1"/>
  <c r="D104" i="3"/>
  <c r="E108" i="3"/>
  <c r="F108" i="3" s="1"/>
  <c r="E109" i="3"/>
  <c r="F109" i="3" s="1"/>
  <c r="E110" i="3"/>
  <c r="F110" i="3" s="1"/>
  <c r="G67" i="3"/>
  <c r="H67" i="3" s="1"/>
  <c r="G66" i="3"/>
  <c r="H66" i="3" s="1"/>
  <c r="G70" i="3"/>
  <c r="H70" i="3" s="1"/>
  <c r="G68" i="3"/>
  <c r="H68" i="3" s="1"/>
  <c r="G61" i="3"/>
  <c r="H61" i="3" s="1"/>
  <c r="G60" i="3"/>
  <c r="H60" i="3" s="1"/>
  <c r="G69" i="3"/>
  <c r="H69" i="3" s="1"/>
  <c r="G63" i="3"/>
  <c r="H63" i="3" s="1"/>
  <c r="D51" i="3"/>
  <c r="G62" i="3"/>
  <c r="H62" i="3" s="1"/>
  <c r="G71" i="3"/>
  <c r="H71" i="3" s="1"/>
  <c r="E117" i="3" l="1"/>
  <c r="E119" i="3"/>
  <c r="E120" i="3"/>
  <c r="E115" i="3"/>
  <c r="E116" i="3" s="1"/>
  <c r="G72" i="3"/>
  <c r="G73" i="3" s="1"/>
  <c r="G74" i="3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<sst xmlns="http://schemas.openxmlformats.org/spreadsheetml/2006/main" count="241" uniqueCount="137">
  <si>
    <t>HPLC System Suitability Report</t>
  </si>
  <si>
    <t>Analysis Data</t>
  </si>
  <si>
    <t>Assay</t>
  </si>
  <si>
    <t>Sample(s)</t>
  </si>
  <si>
    <t>Reference Substance:</t>
  </si>
  <si>
    <t>AMESOL® 250 mg TABLETS</t>
  </si>
  <si>
    <t>% age Purity:</t>
  </si>
  <si>
    <t>NDQB201709211</t>
  </si>
  <si>
    <t>Weight (mg):</t>
  </si>
  <si>
    <t>Levofloxacin hemihydrate equivalent to Levofloxacin 250mg.</t>
  </si>
  <si>
    <t>Standard Conc (mg/mL):</t>
  </si>
  <si>
    <t>Each film - coated tablet contains: Levofloxacin Hemihydrate equivalent to Levofloxacin 250 mg.</t>
  </si>
  <si>
    <t>2017-09-27 14:20:41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</si>
  <si>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</si>
  <si>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</si>
  <si>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</si>
  <si>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</si>
  <si>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</si>
  <si>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</si>
  <si>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</si>
  <si>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</si>
  <si>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</si>
  <si>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</si>
  <si>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</si>
  <si>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</si>
  <si>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</si>
  <si>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</si>
  <si>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</si>
  <si>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</si>
  <si>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</si>
  <si>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</si>
  <si>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</si>
  <si>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</si>
  <si>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</si>
  <si>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</si>
  <si>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</si>
  <si>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</si>
  <si>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</si>
  <si>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</si>
  <si>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</si>
  <si>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</si>
  <si>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</si>
  <si>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</si>
  <si>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</si>
  <si>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</si>
  <si>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</si>
  <si>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</si>
  <si>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</si>
  <si>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</si>
  <si>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</si>
  <si>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</si>
  <si>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</si>
  <si>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</si>
  <si>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</si>
  <si>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</si>
  <si>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</si>
  <si>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</si>
  <si>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</si>
  <si>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</si>
  <si>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</si>
  <si>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</si>
  <si>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</si>
  <si>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</si>
  <si>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</si>
  <si>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</si>
  <si>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</si>
  <si>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</si>
  <si>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</si>
  <si>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</si>
  <si>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</si>
  <si>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</si>
  <si>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</si>
  <si>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</si>
  <si>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</si>
  <si>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</si>
  <si>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</si>
  <si>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</si>
  <si>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</si>
  <si>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</si>
  <si>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</si>
  <si>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</si>
  <si>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</si>
  <si>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</si>
  <si>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</si>
  <si>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</si>
  <si>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</si>
  <si>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</si>
  <si>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</si>
  <si>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</si>
  <si>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</si>
  <si>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</si>
  <si>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</si>
  <si>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</si>
  <si>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</si>
  <si>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</si>
  <si>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</si>
  <si>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</si>
  <si>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</si>
  <si>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</si>
  <si>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</si>
  <si>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</si>
  <si>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</si>
  <si>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</si>
  <si>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</si>
  <si>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</si>
  <si>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</si>
  <si>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</si>
  <si>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</si>
  <si>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</si>
  <si>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</si>
  <si>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</si>
  <si>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</si>
  <si>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</si>
  <si>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</si>
  <si>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</si>
  <si>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</si>
  <si>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</si>
  <si>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</si>
  <si>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</si>
  <si>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</si>
  <si>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</si>
  <si>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</si>
  <si>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</si>
  <si>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</si>
  <si>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</si>
  <si>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</si>
  <si>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</si>
  <si>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</si>
  <si>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</si>
  <si>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</si>
  <si>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</si>
  <si>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LEVOFLOXACIN</t>
  </si>
  <si>
    <t>AMESOLA® 250 mg TABLETS</t>
  </si>
  <si>
    <t>Levofloxacin</t>
  </si>
  <si>
    <t>L11-1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</si>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</sst>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E46" sqref="E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20.100000000000001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18401133</v>
      </c>
      <c r="C24" s="18">
        <v>5774.5</v>
      </c>
      <c r="D24" s="19">
        <v>1.3</v>
      </c>
      <c r="E24" s="20">
        <v>4.0999999999999996</v>
      </c>
    </row>
    <row r="25" spans="1:6" ht="16.5" customHeight="1" x14ac:dyDescent="0.3">
      <c r="A25" s="17">
        <v>2</v>
      </c>
      <c r="B25" s="18">
        <v>18454570</v>
      </c>
      <c r="C25" s="18">
        <v>5761</v>
      </c>
      <c r="D25" s="19">
        <v>1.3</v>
      </c>
      <c r="E25" s="19">
        <v>4.0999999999999996</v>
      </c>
    </row>
    <row r="26" spans="1:6" ht="16.5" customHeight="1" x14ac:dyDescent="0.3">
      <c r="A26" s="17">
        <v>3</v>
      </c>
      <c r="B26" s="18">
        <v>18415476</v>
      </c>
      <c r="C26" s="18">
        <v>5757.9</v>
      </c>
      <c r="D26" s="19">
        <v>1.4</v>
      </c>
      <c r="E26" s="19">
        <v>4.0999999999999996</v>
      </c>
    </row>
    <row r="27" spans="1:6" ht="16.5" customHeight="1" x14ac:dyDescent="0.3">
      <c r="A27" s="17">
        <v>4</v>
      </c>
      <c r="B27" s="18">
        <v>18416714</v>
      </c>
      <c r="C27" s="18">
        <v>5766.4</v>
      </c>
      <c r="D27" s="19">
        <v>1.3</v>
      </c>
      <c r="E27" s="19">
        <v>4.0999999999999996</v>
      </c>
    </row>
    <row r="28" spans="1:6" ht="16.5" customHeight="1" x14ac:dyDescent="0.3">
      <c r="A28" s="17">
        <v>5</v>
      </c>
      <c r="B28" s="18">
        <v>18561671</v>
      </c>
      <c r="C28" s="18">
        <v>5750.3</v>
      </c>
      <c r="D28" s="19">
        <v>1.3</v>
      </c>
      <c r="E28" s="19">
        <v>4.0999999999999996</v>
      </c>
    </row>
    <row r="29" spans="1:6" ht="16.5" customHeight="1" x14ac:dyDescent="0.3">
      <c r="A29" s="17">
        <v>6</v>
      </c>
      <c r="B29" s="21">
        <v>18549969</v>
      </c>
      <c r="C29" s="21">
        <v>5767.5</v>
      </c>
      <c r="D29" s="22">
        <v>1.3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18466588.833333332</v>
      </c>
      <c r="C30" s="25">
        <f>AVERAGE(C24:C29)</f>
        <v>5762.9333333333343</v>
      </c>
      <c r="D30" s="26">
        <f>AVERAGE(D24:D29)</f>
        <v>1.3166666666666667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3.8688692455491167E-3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135</v>
      </c>
      <c r="C60" s="48" t="s">
        <v>136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A10" sqref="A10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323.83</v>
      </c>
      <c r="D24" s="87">
        <f t="shared" ref="D24:D43" si="0">(C24-$C$46)/$C$46</f>
        <v>6.3723761146996611E-3</v>
      </c>
      <c r="E24" s="53"/>
    </row>
    <row r="25" spans="1:5" ht="15.75" customHeight="1" x14ac:dyDescent="0.3">
      <c r="C25" s="95">
        <v>323.64</v>
      </c>
      <c r="D25" s="88">
        <f t="shared" si="0"/>
        <v>5.7819096617404211E-3</v>
      </c>
      <c r="E25" s="53"/>
    </row>
    <row r="26" spans="1:5" ht="15.75" customHeight="1" x14ac:dyDescent="0.3">
      <c r="C26" s="95">
        <v>322.16000000000003</v>
      </c>
      <c r="D26" s="88">
        <f t="shared" si="0"/>
        <v>1.1824867650053546E-3</v>
      </c>
      <c r="E26" s="53"/>
    </row>
    <row r="27" spans="1:5" ht="15.75" customHeight="1" x14ac:dyDescent="0.3">
      <c r="C27" s="95">
        <v>320.97000000000003</v>
      </c>
      <c r="D27" s="88">
        <f t="shared" si="0"/>
        <v>-2.5156978614236064E-3</v>
      </c>
      <c r="E27" s="53"/>
    </row>
    <row r="28" spans="1:5" ht="15.75" customHeight="1" x14ac:dyDescent="0.3">
      <c r="C28" s="95">
        <v>323.94</v>
      </c>
      <c r="D28" s="88">
        <f t="shared" si="0"/>
        <v>6.7142251137813731E-3</v>
      </c>
      <c r="E28" s="53"/>
    </row>
    <row r="29" spans="1:5" ht="15.75" customHeight="1" x14ac:dyDescent="0.3">
      <c r="C29" s="95">
        <v>322.89</v>
      </c>
      <c r="D29" s="88">
        <f t="shared" si="0"/>
        <v>3.4511210316381306E-3</v>
      </c>
      <c r="E29" s="53"/>
    </row>
    <row r="30" spans="1:5" ht="15.75" customHeight="1" x14ac:dyDescent="0.3">
      <c r="C30" s="95">
        <v>318.49</v>
      </c>
      <c r="D30" s="88">
        <f t="shared" si="0"/>
        <v>-1.0222838931628571E-2</v>
      </c>
      <c r="E30" s="53"/>
    </row>
    <row r="31" spans="1:5" ht="15.75" customHeight="1" x14ac:dyDescent="0.3">
      <c r="C31" s="95">
        <v>322.93</v>
      </c>
      <c r="D31" s="88">
        <f t="shared" si="0"/>
        <v>3.5754297585769831E-3</v>
      </c>
      <c r="E31" s="53"/>
    </row>
    <row r="32" spans="1:5" ht="15.75" customHeight="1" x14ac:dyDescent="0.3">
      <c r="C32" s="95">
        <v>322.17</v>
      </c>
      <c r="D32" s="88">
        <f t="shared" si="0"/>
        <v>1.2135639467400236E-3</v>
      </c>
      <c r="E32" s="53"/>
    </row>
    <row r="33" spans="1:7" ht="15.75" customHeight="1" x14ac:dyDescent="0.3">
      <c r="C33" s="95">
        <v>319.29000000000002</v>
      </c>
      <c r="D33" s="88">
        <f t="shared" si="0"/>
        <v>-7.7366643928527589E-3</v>
      </c>
      <c r="E33" s="53"/>
    </row>
    <row r="34" spans="1:7" ht="15.75" customHeight="1" x14ac:dyDescent="0.3">
      <c r="C34" s="95">
        <v>322.14999999999998</v>
      </c>
      <c r="D34" s="88">
        <f t="shared" si="0"/>
        <v>1.1514095832705089E-3</v>
      </c>
      <c r="E34" s="53"/>
    </row>
    <row r="35" spans="1:7" ht="15.75" customHeight="1" x14ac:dyDescent="0.3">
      <c r="C35" s="95">
        <v>319.79000000000002</v>
      </c>
      <c r="D35" s="88">
        <f t="shared" si="0"/>
        <v>-6.1828053061178979E-3</v>
      </c>
      <c r="E35" s="53"/>
    </row>
    <row r="36" spans="1:7" ht="15.75" customHeight="1" x14ac:dyDescent="0.3">
      <c r="C36" s="95">
        <v>323.76</v>
      </c>
      <c r="D36" s="88">
        <f t="shared" si="0"/>
        <v>6.1548358425568021E-3</v>
      </c>
      <c r="E36" s="53"/>
    </row>
    <row r="37" spans="1:7" ht="15.75" customHeight="1" x14ac:dyDescent="0.3">
      <c r="C37" s="95">
        <v>322.60000000000002</v>
      </c>
      <c r="D37" s="88">
        <f t="shared" si="0"/>
        <v>2.5498827613320246E-3</v>
      </c>
      <c r="E37" s="53"/>
    </row>
    <row r="38" spans="1:7" ht="15.75" customHeight="1" x14ac:dyDescent="0.3">
      <c r="C38" s="95">
        <v>324.95</v>
      </c>
      <c r="D38" s="88">
        <f t="shared" si="0"/>
        <v>9.8530204689857622E-3</v>
      </c>
      <c r="E38" s="53"/>
    </row>
    <row r="39" spans="1:7" ht="15.75" customHeight="1" x14ac:dyDescent="0.3">
      <c r="C39" s="95">
        <v>318.02</v>
      </c>
      <c r="D39" s="88">
        <f t="shared" si="0"/>
        <v>-1.1683466473159425E-2</v>
      </c>
      <c r="E39" s="53"/>
    </row>
    <row r="40" spans="1:7" ht="15.75" customHeight="1" x14ac:dyDescent="0.3">
      <c r="C40" s="95">
        <v>320.43</v>
      </c>
      <c r="D40" s="88">
        <f t="shared" si="0"/>
        <v>-4.1938656750973189E-3</v>
      </c>
      <c r="E40" s="53"/>
    </row>
    <row r="41" spans="1:7" ht="15.75" customHeight="1" x14ac:dyDescent="0.3">
      <c r="C41" s="95">
        <v>321.91000000000003</v>
      </c>
      <c r="D41" s="88">
        <f t="shared" si="0"/>
        <v>4.0555722163792434E-4</v>
      </c>
      <c r="E41" s="53"/>
    </row>
    <row r="42" spans="1:7" ht="15.75" customHeight="1" x14ac:dyDescent="0.3">
      <c r="C42" s="95">
        <v>322.33</v>
      </c>
      <c r="D42" s="88">
        <f t="shared" si="0"/>
        <v>1.7107988544950799E-3</v>
      </c>
      <c r="E42" s="53"/>
    </row>
    <row r="43" spans="1:7" ht="16.5" customHeight="1" x14ac:dyDescent="0.3">
      <c r="C43" s="96">
        <v>319.33999999999997</v>
      </c>
      <c r="D43" s="89">
        <f t="shared" si="0"/>
        <v>-7.5812784841794139E-3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6435.59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321.77949999999998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321.77949999999998</v>
      </c>
      <c r="C49" s="93">
        <f>-IF(C46&lt;=80,10%,IF(C46&lt;250,7.5%,5%))</f>
        <v>-0.05</v>
      </c>
      <c r="D49" s="81">
        <f>IF(C46&lt;=80,C46*0.9,IF(C46&lt;250,C46*0.925,C46*0.95))</f>
        <v>305.69052499999998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337.86847499999999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5" zoomScale="46" zoomScaleNormal="40" zoomScalePageLayoutView="46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133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43046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133</v>
      </c>
      <c r="C26" s="298"/>
    </row>
    <row r="27" spans="1:14" ht="26.25" customHeight="1" x14ac:dyDescent="0.4">
      <c r="A27" s="109" t="s">
        <v>48</v>
      </c>
      <c r="B27" s="304" t="s">
        <v>134</v>
      </c>
      <c r="C27" s="304"/>
    </row>
    <row r="28" spans="1:14" ht="27" customHeight="1" x14ac:dyDescent="0.4">
      <c r="A28" s="109" t="s">
        <v>6</v>
      </c>
      <c r="B28" s="110">
        <v>97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18325189</v>
      </c>
      <c r="E38" s="133">
        <f>IF(ISBLANK(D38),"-",$D$48/$D$45*D38)</f>
        <v>18797957.634507872</v>
      </c>
      <c r="F38" s="132">
        <v>19943193</v>
      </c>
      <c r="G38" s="134">
        <f>IF(ISBLANK(F38),"-",$D$48/$F$45*F38)</f>
        <v>18793412.050735973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18255714</v>
      </c>
      <c r="E39" s="138">
        <f>IF(ISBLANK(D39),"-",$D$48/$D$45*D39)</f>
        <v>18726690.260040004</v>
      </c>
      <c r="F39" s="137">
        <v>20030747</v>
      </c>
      <c r="G39" s="139">
        <f>IF(ISBLANK(F39),"-",$D$48/$F$45*F39)</f>
        <v>18875918.317344841</v>
      </c>
      <c r="I39" s="315">
        <f>ABS((F43/D43*D42)-F42)/D42</f>
        <v>6.8087093687576039E-3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18202135</v>
      </c>
      <c r="E40" s="138">
        <f>IF(ISBLANK(D40),"-",$D$48/$D$45*D40)</f>
        <v>18671728.983946245</v>
      </c>
      <c r="F40" s="137">
        <v>20033533</v>
      </c>
      <c r="G40" s="139">
        <f>IF(ISBLANK(F40),"-",$D$48/$F$45*F40)</f>
        <v>18878543.696639586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18261012.666666668</v>
      </c>
      <c r="E42" s="148">
        <f>AVERAGE(E38:E41)</f>
        <v>18732125.626164708</v>
      </c>
      <c r="F42" s="147">
        <f>AVERAGE(F38:F41)</f>
        <v>20002491</v>
      </c>
      <c r="G42" s="149">
        <f>AVERAGE(G38:G41)</f>
        <v>18849291.354906797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20.100000000000001</v>
      </c>
      <c r="E43" s="140"/>
      <c r="F43" s="152">
        <v>21.88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20.100000000000001</v>
      </c>
      <c r="E44" s="155"/>
      <c r="F44" s="154">
        <f>F43*$B$34</f>
        <v>21.88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19.497</v>
      </c>
      <c r="E45" s="158"/>
      <c r="F45" s="157">
        <f>F44*$B$30/100</f>
        <v>21.223600000000001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3.8994000000000001E-2</v>
      </c>
      <c r="E46" s="160"/>
      <c r="F46" s="161">
        <f>F45/$B$45</f>
        <v>4.2447200000000004E-2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18790708.490535755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4.3423926766490784E-3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- coated tablet contains: Levofloxacin Hemihydrate equivalent to Levofloxacin 250 mg.</v>
      </c>
    </row>
    <row r="56" spans="1:12" ht="26.25" customHeight="1" x14ac:dyDescent="0.4">
      <c r="A56" s="177" t="s">
        <v>87</v>
      </c>
      <c r="B56" s="178">
        <v>250</v>
      </c>
      <c r="C56" s="99" t="str">
        <f>B20</f>
        <v>Levofloxacin</v>
      </c>
      <c r="H56" s="179"/>
    </row>
    <row r="57" spans="1:12" ht="18.75" x14ac:dyDescent="0.3">
      <c r="A57" s="176" t="s">
        <v>88</v>
      </c>
      <c r="B57" s="247">
        <f>Uniformity!C46</f>
        <v>321.77949999999998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20" t="s">
        <v>94</v>
      </c>
      <c r="D60" s="323">
        <v>134.28</v>
      </c>
      <c r="E60" s="182">
        <v>1</v>
      </c>
      <c r="F60" s="183">
        <v>21268363</v>
      </c>
      <c r="G60" s="248">
        <f>IF(ISBLANK(F60),"-",(F60/$D$50*$D$47*$B$68)*($B$57/$D$60))</f>
        <v>271.23014043701386</v>
      </c>
      <c r="H60" s="266">
        <f t="shared" ref="H60:H71" si="0">IF(ISBLANK(F60),"-",(G60/$B$56)*100)</f>
        <v>108.49205617480555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1"/>
      <c r="D61" s="324"/>
      <c r="E61" s="184">
        <v>2</v>
      </c>
      <c r="F61" s="137">
        <v>20425077</v>
      </c>
      <c r="G61" s="249">
        <f>IF(ISBLANK(F61),"-",(F61/$D$50*$D$47*$B$68)*($B$57/$D$60))</f>
        <v>260.47592394143464</v>
      </c>
      <c r="H61" s="267">
        <f t="shared" si="0"/>
        <v>104.19036957657386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20464549</v>
      </c>
      <c r="G62" s="249">
        <f>IF(ISBLANK(F62),"-",(F62/$D$50*$D$47*$B$68)*($B$57/$D$60))</f>
        <v>260.97930053432663</v>
      </c>
      <c r="H62" s="267">
        <f t="shared" si="0"/>
        <v>104.39172021373065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131.04</v>
      </c>
      <c r="E64" s="182">
        <v>1</v>
      </c>
      <c r="F64" s="183">
        <v>19690696</v>
      </c>
      <c r="G64" s="248">
        <f>IF(ISBLANK(F64),"-",(F64/$D$50*$D$47*$B$68)*($B$57/$D$64))</f>
        <v>257.3193230399923</v>
      </c>
      <c r="H64" s="266">
        <f t="shared" si="0"/>
        <v>102.92772921599691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19736380</v>
      </c>
      <c r="G65" s="249">
        <f>IF(ISBLANK(F65),"-",(F65/$D$50*$D$47*$B$68)*($B$57/$D$64))</f>
        <v>257.9163245859894</v>
      </c>
      <c r="H65" s="267">
        <f t="shared" si="0"/>
        <v>103.16652983439576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19857388</v>
      </c>
      <c r="G66" s="249">
        <f>IF(ISBLANK(F66),"-",(F66/$D$50*$D$47*$B$68)*($B$57/$D$64))</f>
        <v>259.49766516645559</v>
      </c>
      <c r="H66" s="267">
        <f t="shared" si="0"/>
        <v>103.79906606658224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20" t="s">
        <v>104</v>
      </c>
      <c r="D68" s="323">
        <v>129.52000000000001</v>
      </c>
      <c r="E68" s="182">
        <v>1</v>
      </c>
      <c r="F68" s="183">
        <v>19434228</v>
      </c>
      <c r="G68" s="248">
        <f>IF(ISBLANK(F68),"-",(F68/$D$50*$D$47*$B$68)*($B$57/$D$68))</f>
        <v>256.94825646459913</v>
      </c>
      <c r="H68" s="267">
        <f t="shared" si="0"/>
        <v>102.77930258583964</v>
      </c>
    </row>
    <row r="69" spans="1:8" ht="27" customHeight="1" x14ac:dyDescent="0.4">
      <c r="A69" s="172" t="s">
        <v>105</v>
      </c>
      <c r="B69" s="189">
        <f>(D47*B68)/B56*B57</f>
        <v>128.71180000000001</v>
      </c>
      <c r="C69" s="321"/>
      <c r="D69" s="324"/>
      <c r="E69" s="184">
        <v>2</v>
      </c>
      <c r="F69" s="137">
        <v>19625977</v>
      </c>
      <c r="G69" s="249">
        <f>IF(ISBLANK(F69),"-",(F69/$D$50*$D$47*$B$68)*($B$57/$D$68))</f>
        <v>259.48345216307661</v>
      </c>
      <c r="H69" s="267">
        <f t="shared" si="0"/>
        <v>103.79338086523065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19649707</v>
      </c>
      <c r="G70" s="249">
        <f>IF(ISBLANK(F70),"-",(F70/$D$50*$D$47*$B$68)*($B$57/$D$68))</f>
        <v>259.79719666200418</v>
      </c>
      <c r="H70" s="267">
        <f t="shared" si="0"/>
        <v>103.91887866480167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260.40528699943246</v>
      </c>
      <c r="H72" s="269">
        <f>AVERAGE(H60:H71)</f>
        <v>104.16211479977299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1.64738516902063E-2</v>
      </c>
      <c r="H73" s="253">
        <f>STDEV(H60:H71)/H72</f>
        <v>1.6473851690206352E-2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Levofloxacin</v>
      </c>
      <c r="D76" s="328"/>
      <c r="E76" s="198" t="s">
        <v>108</v>
      </c>
      <c r="F76" s="198"/>
      <c r="G76" s="282">
        <f>H72</f>
        <v>104.16211479977299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Levofloxacin</v>
      </c>
      <c r="C79" s="314"/>
    </row>
    <row r="80" spans="1:8" ht="26.25" customHeight="1" x14ac:dyDescent="0.4">
      <c r="A80" s="109" t="s">
        <v>48</v>
      </c>
      <c r="B80" s="314" t="str">
        <f>B27</f>
        <v>L11-1</v>
      </c>
      <c r="C80" s="314"/>
    </row>
    <row r="81" spans="1:12" ht="27" customHeight="1" x14ac:dyDescent="0.4">
      <c r="A81" s="109" t="s">
        <v>6</v>
      </c>
      <c r="B81" s="201">
        <f>B28</f>
        <v>97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0.35499999999999998</v>
      </c>
      <c r="E91" s="133">
        <f>IF(ISBLANK(D91),"-",$D$101/$D$98*D91)</f>
        <v>0.5067843434187701</v>
      </c>
      <c r="F91" s="132">
        <v>0.36199999999999999</v>
      </c>
      <c r="G91" s="134">
        <f>IF(ISBLANK(F91),"-",$D$101/$F$98*F91)</f>
        <v>0.51472453421695319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0.35399999999999998</v>
      </c>
      <c r="E92" s="138">
        <f>IF(ISBLANK(D92),"-",$D$101/$D$98*D92)</f>
        <v>0.50535678188801292</v>
      </c>
      <c r="F92" s="137">
        <v>0.35899999999999999</v>
      </c>
      <c r="G92" s="139">
        <f>IF(ISBLANK(F92),"-",$D$101/$F$98*F92)</f>
        <v>0.51045886128145357</v>
      </c>
      <c r="I92" s="315">
        <f>ABS((F96/D96*D95)-F95)/D95</f>
        <v>1.0109708468578915E-2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0.35499999999999998</v>
      </c>
      <c r="E93" s="138">
        <f>IF(ISBLANK(D93),"-",$D$101/$D$98*D93)</f>
        <v>0.5067843434187701</v>
      </c>
      <c r="F93" s="137">
        <v>0.35799999999999998</v>
      </c>
      <c r="G93" s="139">
        <f>IF(ISBLANK(F93),"-",$D$101/$F$98*F93)</f>
        <v>0.5090369703029537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0.35466666666666669</v>
      </c>
      <c r="E95" s="148">
        <f>AVERAGE(E91:E94)</f>
        <v>0.50630848957518426</v>
      </c>
      <c r="F95" s="211">
        <f>AVERAGE(F91:F94)</f>
        <v>0.35966666666666663</v>
      </c>
      <c r="G95" s="212">
        <f>AVERAGE(G91:G94)</f>
        <v>0.51140678860045341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20.059999999999999</v>
      </c>
      <c r="E96" s="140"/>
      <c r="F96" s="152">
        <v>20.14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20.059999999999999</v>
      </c>
      <c r="E97" s="155"/>
      <c r="F97" s="154">
        <f>F96*$B$87</f>
        <v>20.14</v>
      </c>
    </row>
    <row r="98" spans="1:10" ht="19.5" customHeight="1" x14ac:dyDescent="0.3">
      <c r="A98" s="124" t="s">
        <v>76</v>
      </c>
      <c r="B98" s="217">
        <f>(B97/B96)*(B95/B94)*(B93/B92)*(B91/B90)*B89</f>
        <v>5000</v>
      </c>
      <c r="C98" s="215" t="s">
        <v>115</v>
      </c>
      <c r="D98" s="218">
        <f>D97*$B$83/100</f>
        <v>19.458199999999998</v>
      </c>
      <c r="E98" s="158"/>
      <c r="F98" s="157">
        <f>F97*$B$83/100</f>
        <v>19.535800000000002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3.8916399999999996E-3</v>
      </c>
      <c r="E99" s="158"/>
      <c r="F99" s="161">
        <f>F98/$B$98</f>
        <v>3.9071600000000007E-3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0.50885763908781889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6.6856570598502274E-3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0.52100000000000002</v>
      </c>
      <c r="E108" s="250">
        <f t="shared" ref="E108:E113" si="1">IF(ISBLANK(D108),"-",D108/$D$103*$D$100*$B$116)</f>
        <v>255.9654999647581</v>
      </c>
      <c r="F108" s="274">
        <f t="shared" ref="F108:F113" si="2">IF(ISBLANK(D108), "-", (E108/$B$56)*100)</f>
        <v>102.38619998590323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0.51700000000000002</v>
      </c>
      <c r="E109" s="251">
        <f t="shared" si="1"/>
        <v>254.00031378460642</v>
      </c>
      <c r="F109" s="275">
        <f t="shared" si="2"/>
        <v>101.60012551384257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0.51800000000000002</v>
      </c>
      <c r="E110" s="251">
        <f t="shared" si="1"/>
        <v>254.49161032964437</v>
      </c>
      <c r="F110" s="275">
        <f t="shared" si="2"/>
        <v>101.79664413185773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0.52100000000000002</v>
      </c>
      <c r="E111" s="251">
        <f t="shared" si="1"/>
        <v>255.9654999647581</v>
      </c>
      <c r="F111" s="275">
        <f t="shared" si="2"/>
        <v>102.38619998590323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0.52200000000000002</v>
      </c>
      <c r="E112" s="251">
        <f t="shared" si="1"/>
        <v>256.45679650979605</v>
      </c>
      <c r="F112" s="275">
        <f t="shared" si="2"/>
        <v>102.58271860391841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0.51800000000000002</v>
      </c>
      <c r="E113" s="252">
        <f t="shared" si="1"/>
        <v>254.49161032964437</v>
      </c>
      <c r="F113" s="276">
        <f t="shared" si="2"/>
        <v>101.79664413185773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255.22855514720121</v>
      </c>
      <c r="F115" s="278">
        <f>AVERAGE(F108:F113)</f>
        <v>102.09142205888048</v>
      </c>
    </row>
    <row r="116" spans="1:10" ht="27" customHeight="1" x14ac:dyDescent="0.4">
      <c r="A116" s="124" t="s">
        <v>103</v>
      </c>
      <c r="B116" s="156">
        <f>(B115/B114)*(B113/B112)*(B111/B110)*(B109/B108)*B107</f>
        <v>45000</v>
      </c>
      <c r="C116" s="234"/>
      <c r="D116" s="258" t="s">
        <v>84</v>
      </c>
      <c r="E116" s="256">
        <f>STDEV(E108:E113)/E115</f>
        <v>3.9916152749427331E-3</v>
      </c>
      <c r="F116" s="235">
        <f>STDEV(F108:F113)/F115</f>
        <v>3.9916152749427313E-3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254.00031378460642</v>
      </c>
      <c r="F119" s="279">
        <f>MIN(F108:F113)</f>
        <v>101.60012551384257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256.45679650979605</v>
      </c>
      <c r="F120" s="280">
        <f>MAX(F108:F113)</f>
        <v>102.58271860391841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Levofloxacin</v>
      </c>
      <c r="D124" s="328"/>
      <c r="E124" s="198" t="s">
        <v>127</v>
      </c>
      <c r="F124" s="198"/>
      <c r="G124" s="281">
        <f>F115</f>
        <v>102.09142205888048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101.60012551384257</v>
      </c>
      <c r="E125" s="209" t="s">
        <v>130</v>
      </c>
      <c r="F125" s="281">
        <f>MAX(F108:F113)</f>
        <v>102.58271860391841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LEVOFLOXACIN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Serah Muteru</cp:lastModifiedBy>
  <cp:lastPrinted>2017-11-08T08:53:23Z</cp:lastPrinted>
  <dcterms:created xsi:type="dcterms:W3CDTF">2005-07-05T10:19:27Z</dcterms:created>
  <dcterms:modified xsi:type="dcterms:W3CDTF">2017-11-15T09:39:48Z</dcterms:modified>
</cp:coreProperties>
</file>