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2"/>
  </bookViews>
  <sheets>
    <sheet name="Uniformity" sheetId="2" r:id="rId1"/>
    <sheet name="RIF SST" sheetId="5" r:id="rId2"/>
    <sheet name="Rifampicin" sheetId="6" r:id="rId3"/>
    <sheet name="ISO SST" sheetId="8" r:id="rId4"/>
    <sheet name="Isoniazid" sheetId="7" r:id="rId5"/>
    <sheet name="Friability" sheetId="9" r:id="rId6"/>
  </sheets>
  <definedNames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E3" i="9" l="1"/>
  <c r="E4" i="9" s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C124" i="7"/>
  <c r="B116" i="7"/>
  <c r="D100" i="7"/>
  <c r="B98" i="7"/>
  <c r="D97" i="7"/>
  <c r="F95" i="7"/>
  <c r="D95" i="7"/>
  <c r="I92" i="7" s="1"/>
  <c r="B87" i="7"/>
  <c r="F97" i="7" s="1"/>
  <c r="B83" i="7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B34" i="7"/>
  <c r="F44" i="7" s="1"/>
  <c r="F45" i="7" s="1"/>
  <c r="F46" i="7" s="1"/>
  <c r="B30" i="7"/>
  <c r="C124" i="6"/>
  <c r="B116" i="6"/>
  <c r="D100" i="6"/>
  <c r="B98" i="6"/>
  <c r="F95" i="6"/>
  <c r="D95" i="6"/>
  <c r="B87" i="6"/>
  <c r="F97" i="6" s="1"/>
  <c r="B83" i="6"/>
  <c r="C76" i="6"/>
  <c r="H71" i="6"/>
  <c r="G71" i="6"/>
  <c r="B68" i="6"/>
  <c r="H67" i="6"/>
  <c r="G67" i="6"/>
  <c r="H63" i="6"/>
  <c r="G63" i="6"/>
  <c r="G62" i="6"/>
  <c r="H62" i="6" s="1"/>
  <c r="G61" i="6"/>
  <c r="H61" i="6" s="1"/>
  <c r="G60" i="6"/>
  <c r="H60" i="6" s="1"/>
  <c r="C56" i="6"/>
  <c r="B55" i="6"/>
  <c r="B45" i="6"/>
  <c r="D48" i="6" s="1"/>
  <c r="F42" i="6"/>
  <c r="I39" i="6" s="1"/>
  <c r="D42" i="6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46" i="2"/>
  <c r="D34" i="2" s="1"/>
  <c r="C45" i="2"/>
  <c r="D37" i="2"/>
  <c r="D33" i="2"/>
  <c r="D32" i="2"/>
  <c r="D29" i="2"/>
  <c r="D28" i="2"/>
  <c r="D25" i="2"/>
  <c r="D24" i="2"/>
  <c r="C19" i="2"/>
  <c r="D38" i="2" l="1"/>
  <c r="B69" i="7"/>
  <c r="D101" i="7"/>
  <c r="D102" i="7" s="1"/>
  <c r="B57" i="6"/>
  <c r="B69" i="6" s="1"/>
  <c r="B57" i="7"/>
  <c r="D26" i="2"/>
  <c r="D30" i="2"/>
  <c r="D41" i="2"/>
  <c r="B49" i="2"/>
  <c r="D27" i="2"/>
  <c r="D31" i="2"/>
  <c r="D36" i="2"/>
  <c r="D42" i="2"/>
  <c r="D50" i="2"/>
  <c r="I39" i="7"/>
  <c r="I92" i="6"/>
  <c r="D101" i="6"/>
  <c r="G93" i="6" s="1"/>
  <c r="F98" i="6"/>
  <c r="F99" i="6" s="1"/>
  <c r="D49" i="6"/>
  <c r="E40" i="6"/>
  <c r="E38" i="6"/>
  <c r="E39" i="6"/>
  <c r="G39" i="7"/>
  <c r="G40" i="7"/>
  <c r="D49" i="7"/>
  <c r="G38" i="7"/>
  <c r="F98" i="7"/>
  <c r="D98" i="7"/>
  <c r="E92" i="7" s="1"/>
  <c r="F44" i="6"/>
  <c r="F45" i="6" s="1"/>
  <c r="F46" i="6" s="1"/>
  <c r="D44" i="7"/>
  <c r="D45" i="7" s="1"/>
  <c r="D46" i="7" s="1"/>
  <c r="D97" i="6"/>
  <c r="D98" i="6" s="1"/>
  <c r="D99" i="6" s="1"/>
  <c r="D35" i="2"/>
  <c r="D39" i="2"/>
  <c r="D43" i="2"/>
  <c r="C49" i="2"/>
  <c r="D40" i="2"/>
  <c r="D49" i="2"/>
  <c r="C50" i="2"/>
  <c r="G40" i="6" l="1"/>
  <c r="G39" i="6"/>
  <c r="G42" i="7"/>
  <c r="D102" i="6"/>
  <c r="G94" i="6"/>
  <c r="E91" i="6"/>
  <c r="G91" i="6"/>
  <c r="G92" i="6"/>
  <c r="E92" i="6"/>
  <c r="E91" i="7"/>
  <c r="E93" i="7"/>
  <c r="D99" i="7"/>
  <c r="E40" i="7"/>
  <c r="E94" i="7"/>
  <c r="G91" i="7"/>
  <c r="F99" i="7"/>
  <c r="E42" i="6"/>
  <c r="G92" i="7"/>
  <c r="G93" i="7"/>
  <c r="G94" i="7"/>
  <c r="E38" i="7"/>
  <c r="E39" i="7"/>
  <c r="G38" i="6"/>
  <c r="G42" i="6" s="1"/>
  <c r="E94" i="6"/>
  <c r="E93" i="6"/>
  <c r="G95" i="6" l="1"/>
  <c r="E95" i="6"/>
  <c r="D105" i="6"/>
  <c r="D105" i="7"/>
  <c r="G95" i="7"/>
  <c r="D50" i="6"/>
  <c r="D52" i="6"/>
  <c r="D50" i="7"/>
  <c r="E42" i="7"/>
  <c r="D52" i="7"/>
  <c r="E95" i="7"/>
  <c r="D103" i="6"/>
  <c r="D103" i="7"/>
  <c r="G70" i="7" l="1"/>
  <c r="H70" i="7" s="1"/>
  <c r="G69" i="7"/>
  <c r="H69" i="7" s="1"/>
  <c r="G68" i="7"/>
  <c r="H68" i="7" s="1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G61" i="7"/>
  <c r="H61" i="7" s="1"/>
  <c r="D51" i="7"/>
  <c r="G66" i="7"/>
  <c r="H66" i="7" s="1"/>
  <c r="G64" i="7"/>
  <c r="H64" i="7" s="1"/>
  <c r="G62" i="7"/>
  <c r="H62" i="7" s="1"/>
  <c r="G60" i="7"/>
  <c r="G65" i="7"/>
  <c r="H65" i="7" s="1"/>
  <c r="G68" i="6"/>
  <c r="H68" i="6" s="1"/>
  <c r="G69" i="6"/>
  <c r="H69" i="6" s="1"/>
  <c r="G66" i="6"/>
  <c r="H66" i="6" s="1"/>
  <c r="G64" i="6"/>
  <c r="D51" i="6"/>
  <c r="G70" i="6"/>
  <c r="H70" i="6" s="1"/>
  <c r="G65" i="6"/>
  <c r="H65" i="6" s="1"/>
  <c r="E115" i="6" l="1"/>
  <c r="E116" i="6" s="1"/>
  <c r="E119" i="6"/>
  <c r="E120" i="6"/>
  <c r="E117" i="6"/>
  <c r="F108" i="6"/>
  <c r="H64" i="6"/>
  <c r="G74" i="6"/>
  <c r="G72" i="6"/>
  <c r="G73" i="6" s="1"/>
  <c r="H60" i="7"/>
  <c r="G74" i="7"/>
  <c r="G72" i="7"/>
  <c r="G73" i="7" s="1"/>
  <c r="E119" i="7"/>
  <c r="E120" i="7"/>
  <c r="E117" i="7"/>
  <c r="F108" i="7"/>
  <c r="E115" i="7"/>
  <c r="E116" i="7" s="1"/>
  <c r="H72" i="6" l="1"/>
  <c r="H74" i="6"/>
  <c r="H74" i="7"/>
  <c r="H72" i="7"/>
  <c r="F119" i="6"/>
  <c r="F125" i="6"/>
  <c r="F120" i="6"/>
  <c r="F117" i="6"/>
  <c r="D125" i="6"/>
  <c r="F115" i="6"/>
  <c r="F125" i="7"/>
  <c r="F120" i="7"/>
  <c r="F117" i="7"/>
  <c r="D125" i="7"/>
  <c r="F115" i="7"/>
  <c r="F119" i="7"/>
  <c r="G124" i="7" l="1"/>
  <c r="F116" i="7"/>
  <c r="G76" i="7"/>
  <c r="H73" i="7"/>
  <c r="G124" i="6"/>
  <c r="F116" i="6"/>
  <c r="G76" i="6"/>
  <c r="H73" i="6"/>
</calcChain>
</file>

<file path=xl/sharedStrings.xml><?xml version="1.0" encoding="utf-8"?>
<sst xmlns="http://schemas.openxmlformats.org/spreadsheetml/2006/main" count="452" uniqueCount="141">
  <si>
    <t>HPLC System Suitability Report</t>
  </si>
  <si>
    <t>Analysis Data</t>
  </si>
  <si>
    <t>Assay</t>
  </si>
  <si>
    <t>Sample(s)</t>
  </si>
  <si>
    <t>Reference Substance:</t>
  </si>
  <si>
    <t>RIFAMPICIN 75 mg &amp; ISONIAZID 50 mg DISPERSIBLE TABLETS</t>
  </si>
  <si>
    <t>% age Purity:</t>
  </si>
  <si>
    <t>NDQB201709214</t>
  </si>
  <si>
    <t>Weight (mg):</t>
  </si>
  <si>
    <t>Rifampicin, Isoniazid</t>
  </si>
  <si>
    <t>Standard Conc (mg/mL):</t>
  </si>
  <si>
    <t>Each dispersible tablet contains: Rifampicin 75 mg and Isoniazid 50 mg.</t>
  </si>
  <si>
    <t>2017-09-27 14:37:00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</si>
  <si>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</si>
  <si>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</si>
  <si>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</si>
  <si>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</si>
  <si>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</si>
  <si>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</si>
  <si>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</si>
  <si>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</si>
  <si>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</si>
  <si>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</si>
  <si>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</si>
  <si>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</si>
  <si>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</si>
  <si>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</si>
  <si>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</si>
  <si>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</si>
  <si>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</si>
  <si>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</si>
  <si>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</si>
  <si>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</si>
  <si>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</si>
  <si>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</si>
  <si>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</si>
  <si>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</si>
  <si>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</si>
  <si>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</si>
  <si>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</si>
  <si>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</si>
  <si>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</si>
  <si>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</si>
  <si>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</si>
  <si>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</si>
  <si>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</si>
  <si>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</si>
  <si>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</si>
  <si>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</si>
  <si>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</si>
  <si>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</si>
  <si>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</si>
  <si>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</si>
  <si>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</si>
  <si>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</si>
  <si>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</si>
  <si>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</si>
  <si>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</si>
  <si>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</si>
  <si>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</si>
  <si>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</si>
  <si>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</si>
  <si>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</si>
  <si>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</si>
  <si>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</si>
  <si>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</si>
  <si>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</si>
  <si>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</si>
  <si>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</si>
  <si>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</si>
  <si>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</si>
  <si>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</si>
  <si>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</si>
  <si>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</si>
  <si>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</si>
  <si>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</si>
  <si>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</si>
  <si>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</si>
  <si>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</si>
  <si>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</si>
  <si>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</si>
  <si>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</si>
  <si>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</si>
  <si>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</si>
  <si>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</si>
  <si>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</si>
  <si>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</si>
  <si>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</si>
  <si>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</si>
  <si>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</si>
  <si>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</si>
  <si>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</si>
  <si>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</si>
  <si>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</si>
  <si>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</si>
  <si>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</si>
  <si>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</si>
  <si>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</si>
  <si>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</si>
  <si>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</si>
  <si>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</si>
  <si>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</si>
  <si>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</si>
  <si>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</si>
  <si>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</si>
  <si>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</si>
  <si>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</si>
  <si>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</si>
  <si>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</si>
  <si>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</si>
  <si>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</si>
  <si>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</si>
  <si>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</si>
  <si>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</si>
  <si>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</si>
  <si>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</si>
  <si>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</si>
  <si>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</si>
  <si>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</si>
  <si>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</si>
  <si>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</si>
  <si>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</si>
  <si>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</si>
  <si>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</si>
  <si>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</si>
  <si>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</si>
  <si>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</si>
  <si>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</si>
  <si>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</si>
  <si>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</si>
  <si>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</si>
  <si>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</si>
  <si>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</si>
  <si>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</si>
  <si>
    <t xml:space="preserve">RIFAMPICIN 75 mg </t>
  </si>
  <si>
    <t>Each  dispersible tablet contains: Rifampicin BP 75 mg and Isoniazid BP 50 mg.</t>
  </si>
  <si>
    <t>R4-1</t>
  </si>
  <si>
    <t>, Isoniazid</t>
  </si>
  <si>
    <t>ISONIAZID</t>
  </si>
  <si>
    <t>I8-4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</si>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</sst>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9" fontId="25" fillId="2" borderId="0" applyFont="0" applyFill="0" applyBorder="0" applyAlignment="0" applyProtection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5" fillId="2" borderId="0" xfId="4" applyFill="1"/>
    <xf numFmtId="10" fontId="0" fillId="2" borderId="0" xfId="5" applyNumberFormat="1" applyFont="1" applyFill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Percent 2" xfId="5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9" workbookViewId="0">
      <selection activeCell="B47" sqref="B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 x14ac:dyDescent="0.3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 x14ac:dyDescent="0.3">
      <c r="A14" s="557" t="s">
        <v>33</v>
      </c>
      <c r="B14" s="557"/>
      <c r="C14" s="10" t="s">
        <v>5</v>
      </c>
    </row>
    <row r="15" spans="1:7" ht="16.5" customHeight="1" x14ac:dyDescent="0.3">
      <c r="A15" s="557" t="s">
        <v>34</v>
      </c>
      <c r="B15" s="557"/>
      <c r="C15" s="10" t="s">
        <v>7</v>
      </c>
    </row>
    <row r="16" spans="1:7" ht="16.5" customHeight="1" x14ac:dyDescent="0.3">
      <c r="A16" s="557" t="s">
        <v>35</v>
      </c>
      <c r="B16" s="557"/>
      <c r="C16" s="10" t="s">
        <v>9</v>
      </c>
    </row>
    <row r="17" spans="1:5" ht="16.5" customHeight="1" x14ac:dyDescent="0.3">
      <c r="A17" s="557" t="s">
        <v>36</v>
      </c>
      <c r="B17" s="557"/>
      <c r="C17" s="10" t="s">
        <v>11</v>
      </c>
    </row>
    <row r="18" spans="1:5" ht="16.5" customHeight="1" x14ac:dyDescent="0.3">
      <c r="A18" s="557" t="s">
        <v>37</v>
      </c>
      <c r="B18" s="557"/>
      <c r="C18" s="47" t="s">
        <v>12</v>
      </c>
    </row>
    <row r="19" spans="1:5" ht="16.5" customHeight="1" x14ac:dyDescent="0.3">
      <c r="A19" s="557" t="s">
        <v>38</v>
      </c>
      <c r="B19" s="55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2" t="s">
        <v>1</v>
      </c>
      <c r="B21" s="552"/>
      <c r="C21" s="9" t="s">
        <v>39</v>
      </c>
      <c r="D21" s="16"/>
    </row>
    <row r="22" spans="1:5" ht="15.75" customHeight="1" x14ac:dyDescent="0.3">
      <c r="A22" s="556"/>
      <c r="B22" s="556"/>
      <c r="C22" s="7"/>
      <c r="D22" s="556"/>
      <c r="E22" s="55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321.20999999999998</v>
      </c>
      <c r="D24" s="37">
        <f t="shared" ref="D24:D43" si="0">(C24-$C$46)/$C$46</f>
        <v>-8.5074350627676481E-4</v>
      </c>
      <c r="E24" s="3"/>
    </row>
    <row r="25" spans="1:5" ht="15.75" customHeight="1" x14ac:dyDescent="0.3">
      <c r="C25" s="45">
        <v>318.25</v>
      </c>
      <c r="D25" s="38">
        <f t="shared" si="0"/>
        <v>-1.0058058967256811E-2</v>
      </c>
      <c r="E25" s="3"/>
    </row>
    <row r="26" spans="1:5" ht="15.75" customHeight="1" x14ac:dyDescent="0.3">
      <c r="C26" s="45">
        <v>326.2</v>
      </c>
      <c r="D26" s="38">
        <f t="shared" si="0"/>
        <v>1.4671048436389056E-2</v>
      </c>
      <c r="E26" s="3"/>
    </row>
    <row r="27" spans="1:5" ht="15.75" customHeight="1" x14ac:dyDescent="0.3">
      <c r="C27" s="45">
        <v>319.66000000000003</v>
      </c>
      <c r="D27" s="38">
        <f t="shared" si="0"/>
        <v>-5.672141805100667E-3</v>
      </c>
      <c r="E27" s="3"/>
    </row>
    <row r="28" spans="1:5" ht="15.75" customHeight="1" x14ac:dyDescent="0.3">
      <c r="C28" s="45">
        <v>322.25</v>
      </c>
      <c r="D28" s="38">
        <f t="shared" si="0"/>
        <v>2.3842592232568506E-3</v>
      </c>
      <c r="E28" s="3"/>
    </row>
    <row r="29" spans="1:5" ht="15.75" customHeight="1" x14ac:dyDescent="0.3">
      <c r="C29" s="45">
        <v>320.49</v>
      </c>
      <c r="D29" s="38">
        <f t="shared" si="0"/>
        <v>-3.0903607805691318E-3</v>
      </c>
      <c r="E29" s="3"/>
    </row>
    <row r="30" spans="1:5" ht="15.75" customHeight="1" x14ac:dyDescent="0.3">
      <c r="C30" s="45">
        <v>318.14</v>
      </c>
      <c r="D30" s="38">
        <f t="shared" si="0"/>
        <v>-1.0400222717495978E-2</v>
      </c>
      <c r="E30" s="3"/>
    </row>
    <row r="31" spans="1:5" ht="15.75" customHeight="1" x14ac:dyDescent="0.3">
      <c r="C31" s="45">
        <v>321.94</v>
      </c>
      <c r="D31" s="38">
        <f t="shared" si="0"/>
        <v>1.419979563492035E-3</v>
      </c>
      <c r="E31" s="3"/>
    </row>
    <row r="32" spans="1:5" ht="15.75" customHeight="1" x14ac:dyDescent="0.3">
      <c r="C32" s="45">
        <v>322.14999999999998</v>
      </c>
      <c r="D32" s="38">
        <f t="shared" si="0"/>
        <v>2.0732012684939387E-3</v>
      </c>
      <c r="E32" s="3"/>
    </row>
    <row r="33" spans="1:7" ht="15.75" customHeight="1" x14ac:dyDescent="0.3">
      <c r="C33" s="45">
        <v>322.64</v>
      </c>
      <c r="D33" s="38">
        <f t="shared" si="0"/>
        <v>3.5973852468318902E-3</v>
      </c>
      <c r="E33" s="3"/>
    </row>
    <row r="34" spans="1:7" ht="15.75" customHeight="1" x14ac:dyDescent="0.3">
      <c r="C34" s="45">
        <v>326.14</v>
      </c>
      <c r="D34" s="38">
        <f t="shared" si="0"/>
        <v>1.4484413663531344E-2</v>
      </c>
      <c r="E34" s="3"/>
    </row>
    <row r="35" spans="1:7" ht="15.75" customHeight="1" x14ac:dyDescent="0.3">
      <c r="C35" s="45">
        <v>320.77999999999997</v>
      </c>
      <c r="D35" s="38">
        <f t="shared" si="0"/>
        <v>-2.1882927117570046E-3</v>
      </c>
      <c r="E35" s="3"/>
    </row>
    <row r="36" spans="1:7" ht="15.75" customHeight="1" x14ac:dyDescent="0.3">
      <c r="C36" s="45">
        <v>322.95999999999998</v>
      </c>
      <c r="D36" s="38">
        <f t="shared" si="0"/>
        <v>4.5927707020729618E-3</v>
      </c>
      <c r="E36" s="3"/>
    </row>
    <row r="37" spans="1:7" ht="15.75" customHeight="1" x14ac:dyDescent="0.3">
      <c r="C37" s="45">
        <v>321.85000000000002</v>
      </c>
      <c r="D37" s="38">
        <f t="shared" si="0"/>
        <v>1.1400274042055554E-3</v>
      </c>
      <c r="E37" s="3"/>
    </row>
    <row r="38" spans="1:7" ht="15.75" customHeight="1" x14ac:dyDescent="0.3">
      <c r="C38" s="45">
        <v>318.83999999999997</v>
      </c>
      <c r="D38" s="38">
        <f t="shared" si="0"/>
        <v>-8.2228170341561227E-3</v>
      </c>
      <c r="E38" s="3"/>
    </row>
    <row r="39" spans="1:7" ht="15.75" customHeight="1" x14ac:dyDescent="0.3">
      <c r="C39" s="45">
        <v>320.55</v>
      </c>
      <c r="D39" s="38">
        <f t="shared" si="0"/>
        <v>-2.9037260077114197E-3</v>
      </c>
      <c r="E39" s="3"/>
    </row>
    <row r="40" spans="1:7" ht="15.75" customHeight="1" x14ac:dyDescent="0.3">
      <c r="C40" s="45">
        <v>321.20999999999998</v>
      </c>
      <c r="D40" s="38">
        <f t="shared" si="0"/>
        <v>-8.5074350627676481E-4</v>
      </c>
      <c r="E40" s="3"/>
    </row>
    <row r="41" spans="1:7" ht="15.75" customHeight="1" x14ac:dyDescent="0.3">
      <c r="C41" s="45">
        <v>319.06</v>
      </c>
      <c r="D41" s="38">
        <f t="shared" si="0"/>
        <v>-7.5384895336777875E-3</v>
      </c>
      <c r="E41" s="3"/>
    </row>
    <row r="42" spans="1:7" ht="15.75" customHeight="1" x14ac:dyDescent="0.3">
      <c r="C42" s="45">
        <v>322.10000000000002</v>
      </c>
      <c r="D42" s="38">
        <f t="shared" si="0"/>
        <v>1.9176722911126592E-3</v>
      </c>
      <c r="E42" s="3"/>
    </row>
    <row r="43" spans="1:7" ht="16.5" customHeight="1" x14ac:dyDescent="0.3">
      <c r="C43" s="46">
        <v>323.25</v>
      </c>
      <c r="D43" s="39">
        <f t="shared" si="0"/>
        <v>5.4948387708852664E-3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6429.6700000000019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321.48350000000011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0">
        <f>C46</f>
        <v>321.48350000000011</v>
      </c>
      <c r="C49" s="43">
        <f>-IF(C46&lt;=80,10%,IF(C46&lt;250,7.5%,5%))</f>
        <v>-0.05</v>
      </c>
      <c r="D49" s="31">
        <f>IF(C46&lt;=80,C46*0.9,IF(C46&lt;250,C46*0.925,C46*0.95))</f>
        <v>305.40932500000008</v>
      </c>
    </row>
    <row r="50" spans="1:6" ht="17.25" customHeight="1" x14ac:dyDescent="0.3">
      <c r="B50" s="551"/>
      <c r="C50" s="44">
        <f>IF(C46&lt;=80, 10%, IF(C46&lt;250, 7.5%, 5%))</f>
        <v>0.05</v>
      </c>
      <c r="D50" s="31">
        <f>IF(C46&lt;=80, C46*1.1, IF(C46&lt;250, C46*1.075, C46*1.05))</f>
        <v>337.55767500000013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1" workbookViewId="0">
      <selection activeCell="C54" sqref="C54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19.670000000000002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B20/20*10/50</f>
        <v>0.19670000000000001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52282134</v>
      </c>
      <c r="C24" s="62">
        <v>92344.3</v>
      </c>
      <c r="D24" s="63">
        <v>0.8</v>
      </c>
      <c r="E24" s="64">
        <v>12.3</v>
      </c>
    </row>
    <row r="25" spans="1:5" ht="16.5" customHeight="1" x14ac:dyDescent="0.3">
      <c r="A25" s="61">
        <v>2</v>
      </c>
      <c r="B25" s="62">
        <v>51572459</v>
      </c>
      <c r="C25" s="62">
        <v>98679.3</v>
      </c>
      <c r="D25" s="63">
        <v>0.8</v>
      </c>
      <c r="E25" s="63">
        <v>12.3</v>
      </c>
    </row>
    <row r="26" spans="1:5" ht="16.5" customHeight="1" x14ac:dyDescent="0.3">
      <c r="A26" s="61">
        <v>3</v>
      </c>
      <c r="B26" s="62">
        <v>51545063</v>
      </c>
      <c r="C26" s="62">
        <v>98951.3</v>
      </c>
      <c r="D26" s="63">
        <v>0.8</v>
      </c>
      <c r="E26" s="63">
        <v>12.3</v>
      </c>
    </row>
    <row r="27" spans="1:5" ht="16.5" customHeight="1" x14ac:dyDescent="0.3">
      <c r="A27" s="61">
        <v>4</v>
      </c>
      <c r="B27" s="62">
        <v>52532126</v>
      </c>
      <c r="C27" s="62">
        <v>98090.5</v>
      </c>
      <c r="D27" s="63">
        <v>0.8</v>
      </c>
      <c r="E27" s="63">
        <v>12.3</v>
      </c>
    </row>
    <row r="28" spans="1:5" ht="16.5" customHeight="1" x14ac:dyDescent="0.3">
      <c r="A28" s="61">
        <v>5</v>
      </c>
      <c r="B28" s="62">
        <v>52451011</v>
      </c>
      <c r="C28" s="62">
        <v>98535.6</v>
      </c>
      <c r="D28" s="63">
        <v>0.8</v>
      </c>
      <c r="E28" s="63">
        <v>12.3</v>
      </c>
    </row>
    <row r="29" spans="1:5" ht="16.5" customHeight="1" x14ac:dyDescent="0.3">
      <c r="A29" s="61">
        <v>6</v>
      </c>
      <c r="B29" s="65">
        <v>52418364</v>
      </c>
      <c r="C29" s="65">
        <v>98844.6</v>
      </c>
      <c r="D29" s="66">
        <v>0.8</v>
      </c>
      <c r="E29" s="66">
        <v>12.3</v>
      </c>
    </row>
    <row r="30" spans="1:5" ht="16.5" customHeight="1" x14ac:dyDescent="0.3">
      <c r="A30" s="67" t="s">
        <v>18</v>
      </c>
      <c r="B30" s="68">
        <f>AVERAGE(B24:B29)</f>
        <v>52133526.166666664</v>
      </c>
      <c r="C30" s="69">
        <f>AVERAGE(C24:C29)</f>
        <v>97574.266666666663</v>
      </c>
      <c r="D30" s="70">
        <f>AVERAGE(D24:D29)</f>
        <v>0.79999999999999993</v>
      </c>
      <c r="E30" s="70">
        <f>AVERAGE(E24:E29)</f>
        <v>12.299999999999999</v>
      </c>
    </row>
    <row r="31" spans="1:5" ht="16.5" customHeight="1" x14ac:dyDescent="0.3">
      <c r="A31" s="71" t="s">
        <v>19</v>
      </c>
      <c r="B31" s="72">
        <f>(STDEV(B24:B29)/B30)</f>
        <v>8.6804803773626107E-3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133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40" zoomScalePageLayoutView="42" workbookViewId="0">
      <selection activeCell="F60" sqref="F60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69" t="s">
        <v>45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46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thickBot="1" x14ac:dyDescent="0.35">
      <c r="A15" s="92"/>
    </row>
    <row r="16" spans="1:9" ht="19.5" customHeight="1" thickBot="1" x14ac:dyDescent="0.35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93" t="s">
        <v>33</v>
      </c>
      <c r="B18" s="475" t="s">
        <v>5</v>
      </c>
      <c r="C18" s="475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476" t="s">
        <v>134</v>
      </c>
      <c r="C20" s="476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476" t="s">
        <v>135</v>
      </c>
      <c r="C21" s="476"/>
      <c r="D21" s="476"/>
      <c r="E21" s="476"/>
      <c r="F21" s="476"/>
      <c r="G21" s="476"/>
      <c r="H21" s="476"/>
      <c r="I21" s="98"/>
    </row>
    <row r="22" spans="1:14" ht="26.25" customHeight="1" x14ac:dyDescent="0.4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475" t="s">
        <v>131</v>
      </c>
      <c r="C26" s="475"/>
    </row>
    <row r="27" spans="1:14" ht="26.25" customHeight="1" x14ac:dyDescent="0.4">
      <c r="A27" s="103" t="s">
        <v>48</v>
      </c>
      <c r="B27" s="477" t="s">
        <v>136</v>
      </c>
      <c r="C27" s="477"/>
    </row>
    <row r="28" spans="1:14" ht="27" customHeight="1" thickBot="1" x14ac:dyDescent="0.45">
      <c r="A28" s="103" t="s">
        <v>6</v>
      </c>
      <c r="B28" s="104">
        <v>98.5</v>
      </c>
    </row>
    <row r="29" spans="1:14" s="59" customFormat="1" ht="27" customHeight="1" thickBot="1" x14ac:dyDescent="0.45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98.5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466" t="s">
        <v>53</v>
      </c>
      <c r="D31" s="467"/>
      <c r="E31" s="467"/>
      <c r="F31" s="467"/>
      <c r="G31" s="467"/>
      <c r="H31" s="468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466" t="s">
        <v>55</v>
      </c>
      <c r="D32" s="467"/>
      <c r="E32" s="467"/>
      <c r="F32" s="467"/>
      <c r="G32" s="467"/>
      <c r="H32" s="468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20</v>
      </c>
      <c r="C36" s="92"/>
      <c r="D36" s="482" t="s">
        <v>59</v>
      </c>
      <c r="E36" s="483"/>
      <c r="F36" s="482" t="s">
        <v>60</v>
      </c>
      <c r="G36" s="484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50</v>
      </c>
      <c r="C38" s="125">
        <v>1</v>
      </c>
      <c r="D38" s="126">
        <v>53728119</v>
      </c>
      <c r="E38" s="127">
        <f>IF(ISBLANK(D38),"-",$D$48/$D$45*D38)</f>
        <v>44369141.804236911</v>
      </c>
      <c r="F38" s="126">
        <v>45001824</v>
      </c>
      <c r="G38" s="128">
        <f>IF(ISBLANK(F38),"-",$D$48/$F$45*F38)</f>
        <v>45039685.485611342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53611890</v>
      </c>
      <c r="E39" s="132">
        <f>IF(ISBLANK(D39),"-",$D$48/$D$45*D39)</f>
        <v>44273158.898474574</v>
      </c>
      <c r="F39" s="131">
        <v>44951355</v>
      </c>
      <c r="G39" s="133">
        <f>IF(ISBLANK(F39),"-",$D$48/$F$45*F39)</f>
        <v>44989174.024414271</v>
      </c>
      <c r="I39" s="485">
        <f>ABS((F43/D43*D42)-F42)/D42</f>
        <v>1.2467737245473971E-2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53502558</v>
      </c>
      <c r="E40" s="132">
        <f>IF(ISBLANK(D40),"-",$D$48/$D$45*D40)</f>
        <v>44182871.594507337</v>
      </c>
      <c r="F40" s="131">
        <v>44765680</v>
      </c>
      <c r="G40" s="133">
        <f>IF(ISBLANK(F40),"-",$D$48/$F$45*F40)</f>
        <v>44803342.810049698</v>
      </c>
      <c r="I40" s="485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53614189</v>
      </c>
      <c r="E42" s="141">
        <f>AVERAGE(E38:E41)</f>
        <v>44275057.432406276</v>
      </c>
      <c r="F42" s="140">
        <f>AVERAGE(F38:F41)</f>
        <v>44906286.333333336</v>
      </c>
      <c r="G42" s="142">
        <f>AVERAGE(G38:G41)</f>
        <v>44944067.440025114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19.670000000000002</v>
      </c>
      <c r="E43" s="92"/>
      <c r="F43" s="144">
        <v>16.23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19.670000000000002</v>
      </c>
      <c r="E44" s="147"/>
      <c r="F44" s="146">
        <f>F43*$B$34</f>
        <v>16.23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100</v>
      </c>
      <c r="C45" s="145" t="s">
        <v>77</v>
      </c>
      <c r="D45" s="148">
        <f>D44*$B$30/100</f>
        <v>19.374950000000002</v>
      </c>
      <c r="E45" s="149"/>
      <c r="F45" s="148">
        <f>F44*$B$30/100</f>
        <v>15.986549999999999</v>
      </c>
      <c r="H45" s="83"/>
    </row>
    <row r="46" spans="1:14" ht="19.5" customHeight="1" thickBot="1" x14ac:dyDescent="0.35">
      <c r="A46" s="486" t="s">
        <v>78</v>
      </c>
      <c r="B46" s="487"/>
      <c r="C46" s="145" t="s">
        <v>79</v>
      </c>
      <c r="D46" s="150">
        <f>D45/$B$45</f>
        <v>0.19374950000000002</v>
      </c>
      <c r="E46" s="151"/>
      <c r="F46" s="152">
        <f>F45/$B$45</f>
        <v>0.15986549999999999</v>
      </c>
      <c r="H46" s="83"/>
    </row>
    <row r="47" spans="1:14" ht="27" customHeight="1" thickBot="1" x14ac:dyDescent="0.45">
      <c r="A47" s="488"/>
      <c r="B47" s="489"/>
      <c r="C47" s="153" t="s">
        <v>80</v>
      </c>
      <c r="D47" s="154">
        <v>0.16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16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16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44609562.436215691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8.5047512597967515E-3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 dispersible tablet contains: Rifampicin BP 75 mg and Isoniazid BP 50 mg.</v>
      </c>
    </row>
    <row r="56" spans="1:12" ht="26.25" customHeight="1" x14ac:dyDescent="0.4">
      <c r="A56" s="167" t="s">
        <v>87</v>
      </c>
      <c r="B56" s="168">
        <v>75</v>
      </c>
      <c r="C56" s="92" t="str">
        <f>B20</f>
        <v xml:space="preserve">RIFAMPICIN 75 mg </v>
      </c>
      <c r="H56" s="147"/>
    </row>
    <row r="57" spans="1:12" ht="18.75" x14ac:dyDescent="0.3">
      <c r="A57" s="167" t="s">
        <v>88</v>
      </c>
      <c r="B57" s="169">
        <f>Uniformity!C46</f>
        <v>321.48350000000011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4</v>
      </c>
      <c r="C60" s="490" t="s">
        <v>94</v>
      </c>
      <c r="D60" s="493">
        <v>327.19</v>
      </c>
      <c r="E60" s="172">
        <v>1</v>
      </c>
      <c r="F60" s="173"/>
      <c r="G60" s="174" t="str">
        <f>IF(ISBLANK(F60),"-",(F60/$D$50*$D$47*$B$68)*($B$57/$D$60))</f>
        <v>-</v>
      </c>
      <c r="H60" s="175" t="str">
        <f t="shared" ref="H60:H71" si="0">IF(ISBLANK(F60),"-",(G60/$B$56)*100)</f>
        <v>-</v>
      </c>
      <c r="L60" s="106"/>
    </row>
    <row r="61" spans="1:12" s="59" customFormat="1" ht="26.25" customHeight="1" x14ac:dyDescent="0.4">
      <c r="A61" s="118" t="s">
        <v>95</v>
      </c>
      <c r="B61" s="119">
        <v>20</v>
      </c>
      <c r="C61" s="491"/>
      <c r="D61" s="494"/>
      <c r="E61" s="176">
        <v>2</v>
      </c>
      <c r="F61" s="131"/>
      <c r="G61" s="177" t="str">
        <f>IF(ISBLANK(F61),"-",(F61/$D$50*$D$47*$B$68)*($B$57/$D$60))</f>
        <v>-</v>
      </c>
      <c r="H61" s="178" t="str">
        <f t="shared" si="0"/>
        <v>-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491"/>
      <c r="D62" s="494"/>
      <c r="E62" s="176">
        <v>3</v>
      </c>
      <c r="F62" s="179"/>
      <c r="G62" s="177" t="str">
        <f>IF(ISBLANK(F62),"-",(F62/$D$50*$D$47*$B$68)*($B$57/$D$60))</f>
        <v>-</v>
      </c>
      <c r="H62" s="178" t="str">
        <f t="shared" si="0"/>
        <v>-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492"/>
      <c r="D63" s="49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490" t="s">
        <v>99</v>
      </c>
      <c r="D64" s="493">
        <v>327.13</v>
      </c>
      <c r="E64" s="172">
        <v>1</v>
      </c>
      <c r="F64" s="173">
        <v>45305973</v>
      </c>
      <c r="G64" s="174">
        <f>IF(ISBLANK(F64),"-",(F64/$D$50*$D$47*$B$68)*($B$57/$D$64))</f>
        <v>79.846484496839608</v>
      </c>
      <c r="H64" s="175">
        <f t="shared" si="0"/>
        <v>106.46197932911947</v>
      </c>
    </row>
    <row r="65" spans="1:8" ht="26.25" customHeight="1" x14ac:dyDescent="0.4">
      <c r="A65" s="118" t="s">
        <v>100</v>
      </c>
      <c r="B65" s="119">
        <v>1</v>
      </c>
      <c r="C65" s="491"/>
      <c r="D65" s="494"/>
      <c r="E65" s="176">
        <v>2</v>
      </c>
      <c r="F65" s="131">
        <v>45487966</v>
      </c>
      <c r="G65" s="177">
        <f>IF(ISBLANK(F65),"-",(F65/$D$50*$D$47*$B$68)*($B$57/$D$64))</f>
        <v>80.167225897825134</v>
      </c>
      <c r="H65" s="178">
        <f t="shared" si="0"/>
        <v>106.88963453043353</v>
      </c>
    </row>
    <row r="66" spans="1:8" ht="26.25" customHeight="1" x14ac:dyDescent="0.4">
      <c r="A66" s="118" t="s">
        <v>101</v>
      </c>
      <c r="B66" s="119">
        <v>1</v>
      </c>
      <c r="C66" s="491"/>
      <c r="D66" s="494"/>
      <c r="E66" s="176">
        <v>3</v>
      </c>
      <c r="F66" s="131">
        <v>45178386</v>
      </c>
      <c r="G66" s="177">
        <f>IF(ISBLANK(F66),"-",(F66/$D$50*$D$47*$B$68)*($B$57/$D$64))</f>
        <v>79.621627314818639</v>
      </c>
      <c r="H66" s="178">
        <f t="shared" si="0"/>
        <v>106.16216975309152</v>
      </c>
    </row>
    <row r="67" spans="1:8" ht="27" customHeight="1" thickBot="1" x14ac:dyDescent="0.45">
      <c r="A67" s="118" t="s">
        <v>102</v>
      </c>
      <c r="B67" s="119">
        <v>1</v>
      </c>
      <c r="C67" s="492"/>
      <c r="D67" s="49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500</v>
      </c>
      <c r="C68" s="490" t="s">
        <v>104</v>
      </c>
      <c r="D68" s="493">
        <v>325.29000000000002</v>
      </c>
      <c r="E68" s="172">
        <v>1</v>
      </c>
      <c r="F68" s="173">
        <v>44427563</v>
      </c>
      <c r="G68" s="174">
        <f>IF(ISBLANK(F68),"-",(F68/$D$50*$D$47*$B$68)*($B$57/$D$68))</f>
        <v>78.741283638705227</v>
      </c>
      <c r="H68" s="178">
        <f t="shared" si="0"/>
        <v>104.98837818494032</v>
      </c>
    </row>
    <row r="69" spans="1:8" ht="27" customHeight="1" thickBot="1" x14ac:dyDescent="0.45">
      <c r="A69" s="163" t="s">
        <v>105</v>
      </c>
      <c r="B69" s="185">
        <f>(D47*B68)/B56*B57</f>
        <v>342.91573333333343</v>
      </c>
      <c r="C69" s="491"/>
      <c r="D69" s="494"/>
      <c r="E69" s="176">
        <v>2</v>
      </c>
      <c r="F69" s="131">
        <v>44060005</v>
      </c>
      <c r="G69" s="177">
        <f>IF(ISBLANK(F69),"-",(F69/$D$50*$D$47*$B$68)*($B$57/$D$68))</f>
        <v>78.089841453328646</v>
      </c>
      <c r="H69" s="178">
        <f t="shared" si="0"/>
        <v>104.1197886044382</v>
      </c>
    </row>
    <row r="70" spans="1:8" ht="26.25" customHeight="1" x14ac:dyDescent="0.4">
      <c r="A70" s="497" t="s">
        <v>78</v>
      </c>
      <c r="B70" s="498"/>
      <c r="C70" s="491"/>
      <c r="D70" s="494"/>
      <c r="E70" s="176">
        <v>3</v>
      </c>
      <c r="F70" s="131">
        <v>43796347</v>
      </c>
      <c r="G70" s="177">
        <f>IF(ISBLANK(F70),"-",(F70/$D$50*$D$47*$B$68)*($B$57/$D$68))</f>
        <v>77.622546648938552</v>
      </c>
      <c r="H70" s="178">
        <f t="shared" si="0"/>
        <v>103.49672886525141</v>
      </c>
    </row>
    <row r="71" spans="1:8" ht="27" customHeight="1" thickBot="1" x14ac:dyDescent="0.45">
      <c r="A71" s="499"/>
      <c r="B71" s="500"/>
      <c r="C71" s="496"/>
      <c r="D71" s="49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79.014834908409298</v>
      </c>
      <c r="H72" s="188">
        <f>AVERAGE(H60:H71)</f>
        <v>105.3531132112124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1.2976726153437744E-2</v>
      </c>
      <c r="H73" s="190">
        <f>STDEV(H60:H71)/H72</f>
        <v>1.2976726153437729E-2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6</v>
      </c>
      <c r="H74" s="192">
        <f>COUNT(H60:H71)</f>
        <v>6</v>
      </c>
    </row>
    <row r="76" spans="1:8" ht="26.25" customHeight="1" x14ac:dyDescent="0.4">
      <c r="A76" s="102" t="s">
        <v>106</v>
      </c>
      <c r="B76" s="103" t="s">
        <v>107</v>
      </c>
      <c r="C76" s="481" t="str">
        <f>B26</f>
        <v>RIFAMPICIN</v>
      </c>
      <c r="D76" s="481"/>
      <c r="E76" s="92" t="s">
        <v>108</v>
      </c>
      <c r="F76" s="92"/>
      <c r="G76" s="193">
        <f>H72</f>
        <v>105.3531132112124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502"/>
      <c r="C79" s="502"/>
    </row>
    <row r="80" spans="1:8" ht="26.25" customHeight="1" x14ac:dyDescent="0.4">
      <c r="A80" s="103" t="s">
        <v>48</v>
      </c>
      <c r="B80" s="502"/>
      <c r="C80" s="502"/>
    </row>
    <row r="81" spans="1:12" ht="27" customHeight="1" thickBot="1" x14ac:dyDescent="0.45">
      <c r="A81" s="103" t="s">
        <v>6</v>
      </c>
      <c r="B81" s="104"/>
    </row>
    <row r="82" spans="1:12" s="59" customFormat="1" ht="27" customHeight="1" thickBot="1" x14ac:dyDescent="0.45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0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/>
      <c r="C84" s="466" t="s">
        <v>111</v>
      </c>
      <c r="D84" s="467"/>
      <c r="E84" s="467"/>
      <c r="F84" s="467"/>
      <c r="G84" s="467"/>
      <c r="H84" s="468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/>
      <c r="C85" s="466" t="s">
        <v>112</v>
      </c>
      <c r="D85" s="467"/>
      <c r="E85" s="467"/>
      <c r="F85" s="467"/>
      <c r="G85" s="467"/>
      <c r="H85" s="468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 t="e">
        <f>B84/B85</f>
        <v>#DIV/0!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/>
      <c r="D89" s="194" t="s">
        <v>59</v>
      </c>
      <c r="E89" s="195"/>
      <c r="F89" s="482" t="s">
        <v>60</v>
      </c>
      <c r="G89" s="484"/>
    </row>
    <row r="90" spans="1:12" ht="27" customHeight="1" thickBot="1" x14ac:dyDescent="0.45">
      <c r="A90" s="118" t="s">
        <v>61</v>
      </c>
      <c r="B90" s="119"/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/>
      <c r="C91" s="198">
        <v>1</v>
      </c>
      <c r="D91" s="126"/>
      <c r="E91" s="127" t="str">
        <f>IF(ISBLANK(D91),"-",$D$101/$D$98*D91)</f>
        <v>-</v>
      </c>
      <c r="F91" s="126"/>
      <c r="G91" s="128" t="str">
        <f>IF(ISBLANK(F91),"-",$D$101/$F$98*F91)</f>
        <v>-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/>
      <c r="E92" s="132" t="str">
        <f>IF(ISBLANK(D92),"-",$D$101/$D$98*D92)</f>
        <v>-</v>
      </c>
      <c r="F92" s="131"/>
      <c r="G92" s="133" t="str">
        <f>IF(ISBLANK(F92),"-",$D$101/$F$98*F92)</f>
        <v>-</v>
      </c>
      <c r="I92" s="485" t="e">
        <f>ABS((F96/D96*D95)-F95)/D95</f>
        <v>#DIV/0!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/>
      <c r="E93" s="132" t="str">
        <f>IF(ISBLANK(D93),"-",$D$101/$D$98*D93)</f>
        <v>-</v>
      </c>
      <c r="F93" s="131"/>
      <c r="G93" s="133" t="str">
        <f>IF(ISBLANK(F93),"-",$D$101/$F$98*F93)</f>
        <v>-</v>
      </c>
      <c r="I93" s="485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 t="e">
        <f>AVERAGE(D91:D94)</f>
        <v>#DIV/0!</v>
      </c>
      <c r="E95" s="141" t="e">
        <f>AVERAGE(E91:E94)</f>
        <v>#DIV/0!</v>
      </c>
      <c r="F95" s="202" t="e">
        <f>AVERAGE(F91:F94)</f>
        <v>#DIV/0!</v>
      </c>
      <c r="G95" s="203" t="e">
        <f>AVERAGE(G91:G94)</f>
        <v>#DIV/0!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/>
      <c r="E96" s="92"/>
      <c r="F96" s="144"/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 t="e">
        <f>D96*$B$87</f>
        <v>#DIV/0!</v>
      </c>
      <c r="E97" s="147"/>
      <c r="F97" s="146" t="e">
        <f>F96*$B$87</f>
        <v>#DIV/0!</v>
      </c>
    </row>
    <row r="98" spans="1:10" ht="19.5" customHeight="1" thickBot="1" x14ac:dyDescent="0.35">
      <c r="A98" s="118" t="s">
        <v>76</v>
      </c>
      <c r="B98" s="147" t="e">
        <f>(B97/B96)*(B95/B94)*(B93/B92)*(B91/B90)*B89</f>
        <v>#DIV/0!</v>
      </c>
      <c r="C98" s="206" t="s">
        <v>115</v>
      </c>
      <c r="D98" s="208" t="e">
        <f>D97*$B$83/100</f>
        <v>#DIV/0!</v>
      </c>
      <c r="E98" s="149"/>
      <c r="F98" s="148" t="e">
        <f>F97*$B$83/100</f>
        <v>#DIV/0!</v>
      </c>
    </row>
    <row r="99" spans="1:10" ht="19.5" customHeight="1" thickBot="1" x14ac:dyDescent="0.35">
      <c r="A99" s="486" t="s">
        <v>78</v>
      </c>
      <c r="B99" s="503"/>
      <c r="C99" s="206" t="s">
        <v>116</v>
      </c>
      <c r="D99" s="209" t="e">
        <f>D98/$B$98</f>
        <v>#DIV/0!</v>
      </c>
      <c r="E99" s="149"/>
      <c r="F99" s="152" t="e">
        <f>F98/$B$98</f>
        <v>#DIV/0!</v>
      </c>
      <c r="H99" s="83"/>
    </row>
    <row r="100" spans="1:10" ht="19.5" customHeight="1" thickBot="1" x14ac:dyDescent="0.35">
      <c r="A100" s="488"/>
      <c r="B100" s="504"/>
      <c r="C100" s="206" t="s">
        <v>80</v>
      </c>
      <c r="D100" s="210" t="e">
        <f>$B$56/$B$116</f>
        <v>#DIV/0!</v>
      </c>
      <c r="F100" s="157"/>
      <c r="G100" s="211"/>
      <c r="H100" s="83"/>
    </row>
    <row r="101" spans="1:10" ht="18.75" x14ac:dyDescent="0.3">
      <c r="C101" s="206" t="s">
        <v>81</v>
      </c>
      <c r="D101" s="207" t="e">
        <f>D100*$B$98</f>
        <v>#DIV/0!</v>
      </c>
      <c r="F101" s="157"/>
      <c r="H101" s="83"/>
    </row>
    <row r="102" spans="1:10" ht="19.5" customHeight="1" thickBot="1" x14ac:dyDescent="0.35">
      <c r="C102" s="212" t="s">
        <v>82</v>
      </c>
      <c r="D102" s="213" t="e">
        <f>D101/B34</f>
        <v>#DIV/0!</v>
      </c>
      <c r="F102" s="161"/>
      <c r="H102" s="83"/>
      <c r="J102" s="214"/>
    </row>
    <row r="103" spans="1:10" ht="18.75" x14ac:dyDescent="0.3">
      <c r="C103" s="215" t="s">
        <v>117</v>
      </c>
      <c r="D103" s="216" t="e">
        <f>AVERAGE(E91:E94,G91:G94)</f>
        <v>#DIV/0!</v>
      </c>
      <c r="F103" s="161"/>
      <c r="G103" s="211"/>
      <c r="H103" s="83"/>
      <c r="J103" s="217"/>
    </row>
    <row r="104" spans="1:10" ht="18.75" x14ac:dyDescent="0.3">
      <c r="C104" s="189" t="s">
        <v>84</v>
      </c>
      <c r="D104" s="218" t="e">
        <f>STDEV(E91:E94,G91:G94)/D103</f>
        <v>#DIV/0!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0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/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/>
      <c r="C108" s="172">
        <v>1</v>
      </c>
      <c r="D108" s="221"/>
      <c r="E108" s="222" t="str">
        <f t="shared" ref="E108:E113" si="1">IF(ISBLANK(D108),"-",D108/$D$103*$D$100*$B$116)</f>
        <v>-</v>
      </c>
      <c r="F108" s="223" t="str">
        <f t="shared" ref="F108:F113" si="2">IF(ISBLANK(D108), "-", (E108/$B$56)*100)</f>
        <v>-</v>
      </c>
    </row>
    <row r="109" spans="1:10" ht="26.25" customHeight="1" x14ac:dyDescent="0.4">
      <c r="A109" s="118" t="s">
        <v>95</v>
      </c>
      <c r="B109" s="119"/>
      <c r="C109" s="176">
        <v>2</v>
      </c>
      <c r="D109" s="224"/>
      <c r="E109" s="225" t="str">
        <f t="shared" si="1"/>
        <v>-</v>
      </c>
      <c r="F109" s="226" t="str">
        <f t="shared" si="2"/>
        <v>-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/>
      <c r="E110" s="225" t="str">
        <f t="shared" si="1"/>
        <v>-</v>
      </c>
      <c r="F110" s="226" t="str">
        <f t="shared" si="2"/>
        <v>-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/>
      <c r="E111" s="225" t="str">
        <f t="shared" si="1"/>
        <v>-</v>
      </c>
      <c r="F111" s="226" t="str">
        <f t="shared" si="2"/>
        <v>-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/>
      <c r="E112" s="225" t="str">
        <f t="shared" si="1"/>
        <v>-</v>
      </c>
      <c r="F112" s="226" t="str">
        <f t="shared" si="2"/>
        <v>-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/>
      <c r="E113" s="228" t="str">
        <f t="shared" si="1"/>
        <v>-</v>
      </c>
      <c r="F113" s="229" t="str">
        <f t="shared" si="2"/>
        <v>-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 t="e">
        <f>AVERAGE(E108:E113)</f>
        <v>#DIV/0!</v>
      </c>
      <c r="F115" s="233" t="e">
        <f>AVERAGE(F108:F113)</f>
        <v>#DIV/0!</v>
      </c>
    </row>
    <row r="116" spans="1:10" ht="27" customHeight="1" thickBot="1" x14ac:dyDescent="0.45">
      <c r="A116" s="118" t="s">
        <v>103</v>
      </c>
      <c r="B116" s="130" t="e">
        <f>(B115/B114)*(B113/B112)*(B111/B110)*(B109/B108)*B107</f>
        <v>#DIV/0!</v>
      </c>
      <c r="C116" s="234"/>
      <c r="D116" s="235" t="s">
        <v>84</v>
      </c>
      <c r="E116" s="190" t="e">
        <f>STDEV(E108:E113)/E115</f>
        <v>#DIV/0!</v>
      </c>
      <c r="F116" s="236" t="e">
        <f>STDEV(F108:F113)/F115</f>
        <v>#DIV/0!</v>
      </c>
      <c r="I116" s="92"/>
    </row>
    <row r="117" spans="1:10" ht="27" customHeight="1" thickBot="1" x14ac:dyDescent="0.45">
      <c r="A117" s="486" t="s">
        <v>78</v>
      </c>
      <c r="B117" s="487"/>
      <c r="C117" s="237"/>
      <c r="D117" s="191" t="s">
        <v>20</v>
      </c>
      <c r="E117" s="238">
        <f>COUNT(E108:E113)</f>
        <v>0</v>
      </c>
      <c r="F117" s="239">
        <f>COUNT(F108:F113)</f>
        <v>0</v>
      </c>
      <c r="I117" s="92"/>
      <c r="J117" s="217"/>
    </row>
    <row r="118" spans="1:10" ht="26.25" customHeight="1" thickBot="1" x14ac:dyDescent="0.35">
      <c r="A118" s="488"/>
      <c r="B118" s="489"/>
      <c r="C118" s="92"/>
      <c r="D118" s="240"/>
      <c r="E118" s="505" t="s">
        <v>123</v>
      </c>
      <c r="F118" s="506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0</v>
      </c>
      <c r="F119" s="243">
        <f>MIN(F108:F113)</f>
        <v>0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0</v>
      </c>
      <c r="F120" s="245">
        <f>MAX(F108:F113)</f>
        <v>0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481" t="str">
        <f>B26</f>
        <v>RIFAMPICIN</v>
      </c>
      <c r="D124" s="481"/>
      <c r="E124" s="92" t="s">
        <v>127</v>
      </c>
      <c r="F124" s="92"/>
      <c r="G124" s="246" t="e">
        <f>F115</f>
        <v>#DIV/0!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0</v>
      </c>
      <c r="E125" s="103" t="s">
        <v>130</v>
      </c>
      <c r="F125" s="246">
        <f>MAX(F108:F113)</f>
        <v>0</v>
      </c>
      <c r="G125" s="247"/>
      <c r="H125" s="92"/>
      <c r="I125" s="92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501" t="s">
        <v>26</v>
      </c>
      <c r="C127" s="501"/>
      <c r="E127" s="196" t="s">
        <v>27</v>
      </c>
      <c r="F127" s="250"/>
      <c r="G127" s="501" t="s">
        <v>28</v>
      </c>
      <c r="H127" s="501"/>
    </row>
    <row r="128" spans="1:10" ht="69.95" customHeight="1" x14ac:dyDescent="0.3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 x14ac:dyDescent="0.3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zoomScale="83" zoomScaleNormal="83" workbookViewId="0">
      <selection activeCell="C48" sqref="C48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25" t="s">
        <v>5</v>
      </c>
      <c r="D17" s="426"/>
      <c r="E17" s="427"/>
    </row>
    <row r="18" spans="1:5" ht="16.5" customHeight="1" x14ac:dyDescent="0.3">
      <c r="A18" s="428" t="s">
        <v>4</v>
      </c>
      <c r="B18" s="421" t="s">
        <v>138</v>
      </c>
      <c r="C18" s="427"/>
      <c r="D18" s="427"/>
      <c r="E18" s="427"/>
    </row>
    <row r="19" spans="1:5" ht="16.5" customHeight="1" x14ac:dyDescent="0.3">
      <c r="A19" s="428" t="s">
        <v>6</v>
      </c>
      <c r="B19" s="429">
        <v>100.33</v>
      </c>
      <c r="C19" s="427"/>
      <c r="D19" s="427"/>
      <c r="E19" s="427"/>
    </row>
    <row r="20" spans="1:5" ht="16.5" customHeight="1" x14ac:dyDescent="0.3">
      <c r="A20" s="425" t="s">
        <v>8</v>
      </c>
      <c r="B20" s="429">
        <v>18.920000000000002</v>
      </c>
      <c r="C20" s="427"/>
      <c r="D20" s="427"/>
      <c r="E20" s="427"/>
    </row>
    <row r="21" spans="1:5" ht="16.5" customHeight="1" x14ac:dyDescent="0.3">
      <c r="A21" s="425" t="s">
        <v>10</v>
      </c>
      <c r="B21" s="430">
        <f>B20/25*5/50</f>
        <v>7.5680000000000011E-2</v>
      </c>
      <c r="C21" s="427"/>
      <c r="D21" s="427"/>
      <c r="E21" s="427"/>
    </row>
    <row r="22" spans="1:5" ht="15.75" customHeight="1" x14ac:dyDescent="0.25">
      <c r="A22" s="427"/>
      <c r="B22" s="427" t="s">
        <v>132</v>
      </c>
      <c r="C22" s="427"/>
      <c r="D22" s="427"/>
      <c r="E22" s="427"/>
    </row>
    <row r="23" spans="1:5" ht="16.5" customHeight="1" x14ac:dyDescent="0.3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 x14ac:dyDescent="0.3">
      <c r="A24" s="433">
        <v>1</v>
      </c>
      <c r="B24" s="434">
        <v>17132906</v>
      </c>
      <c r="C24" s="434">
        <v>30613.5</v>
      </c>
      <c r="D24" s="435">
        <v>1</v>
      </c>
      <c r="E24" s="436">
        <v>3.6</v>
      </c>
    </row>
    <row r="25" spans="1:5" ht="16.5" customHeight="1" x14ac:dyDescent="0.3">
      <c r="A25" s="433">
        <v>2</v>
      </c>
      <c r="B25" s="434">
        <v>17111088</v>
      </c>
      <c r="C25" s="434">
        <v>30819.8</v>
      </c>
      <c r="D25" s="435">
        <v>1.1000000000000001</v>
      </c>
      <c r="E25" s="435">
        <v>3.6</v>
      </c>
    </row>
    <row r="26" spans="1:5" ht="16.5" customHeight="1" x14ac:dyDescent="0.3">
      <c r="A26" s="433">
        <v>3</v>
      </c>
      <c r="B26" s="434">
        <v>17120535</v>
      </c>
      <c r="C26" s="434">
        <v>30956</v>
      </c>
      <c r="D26" s="435">
        <v>1</v>
      </c>
      <c r="E26" s="435">
        <v>3.6</v>
      </c>
    </row>
    <row r="27" spans="1:5" ht="16.5" customHeight="1" x14ac:dyDescent="0.3">
      <c r="A27" s="433">
        <v>4</v>
      </c>
      <c r="B27" s="434">
        <v>17124202</v>
      </c>
      <c r="C27" s="434">
        <v>31107</v>
      </c>
      <c r="D27" s="435">
        <v>1</v>
      </c>
      <c r="E27" s="435">
        <v>3.6</v>
      </c>
    </row>
    <row r="28" spans="1:5" ht="16.5" customHeight="1" x14ac:dyDescent="0.3">
      <c r="A28" s="433">
        <v>5</v>
      </c>
      <c r="B28" s="434">
        <v>17132258</v>
      </c>
      <c r="C28" s="434">
        <v>31026.400000000001</v>
      </c>
      <c r="D28" s="435">
        <v>1</v>
      </c>
      <c r="E28" s="435">
        <v>3.6</v>
      </c>
    </row>
    <row r="29" spans="1:5" ht="16.5" customHeight="1" x14ac:dyDescent="0.3">
      <c r="A29" s="433">
        <v>6</v>
      </c>
      <c r="B29" s="437">
        <v>17124990</v>
      </c>
      <c r="C29" s="437">
        <v>30894.5</v>
      </c>
      <c r="D29" s="438">
        <v>1</v>
      </c>
      <c r="E29" s="438">
        <v>3.6</v>
      </c>
    </row>
    <row r="30" spans="1:5" ht="16.5" customHeight="1" x14ac:dyDescent="0.3">
      <c r="A30" s="439" t="s">
        <v>18</v>
      </c>
      <c r="B30" s="440">
        <f>AVERAGE(B24:B29)</f>
        <v>17124329.833333332</v>
      </c>
      <c r="C30" s="441">
        <f>AVERAGE(C24:C29)</f>
        <v>30902.866666666669</v>
      </c>
      <c r="D30" s="442">
        <f>AVERAGE(D24:D29)</f>
        <v>1.0166666666666666</v>
      </c>
      <c r="E30" s="442">
        <f>AVERAGE(E24:E29)</f>
        <v>3.6</v>
      </c>
    </row>
    <row r="31" spans="1:5" ht="16.5" customHeight="1" x14ac:dyDescent="0.3">
      <c r="A31" s="443" t="s">
        <v>19</v>
      </c>
      <c r="B31" s="444">
        <f>(STDEV(B24:B29)/B30)</f>
        <v>4.7196868297261251E-4</v>
      </c>
      <c r="C31" s="445"/>
      <c r="D31" s="445"/>
      <c r="E31" s="446"/>
    </row>
    <row r="32" spans="1:5" s="421" customFormat="1" ht="16.5" customHeight="1" x14ac:dyDescent="0.3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21</v>
      </c>
      <c r="B34" s="452" t="s">
        <v>22</v>
      </c>
      <c r="C34" s="453"/>
      <c r="D34" s="453"/>
      <c r="E34" s="453"/>
    </row>
    <row r="35" spans="1:5" ht="16.5" customHeight="1" x14ac:dyDescent="0.3">
      <c r="A35" s="428"/>
      <c r="B35" s="452" t="s">
        <v>140</v>
      </c>
      <c r="C35" s="453"/>
      <c r="D35" s="453"/>
      <c r="E35" s="453"/>
    </row>
    <row r="36" spans="1:5" ht="16.5" customHeight="1" x14ac:dyDescent="0.3">
      <c r="A36" s="428"/>
      <c r="B36" s="452" t="s">
        <v>24</v>
      </c>
      <c r="C36" s="453"/>
      <c r="D36" s="453"/>
      <c r="E36" s="453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25</v>
      </c>
    </row>
    <row r="39" spans="1:5" ht="16.5" customHeight="1" x14ac:dyDescent="0.3">
      <c r="A39" s="428" t="s">
        <v>4</v>
      </c>
      <c r="B39" s="425"/>
      <c r="C39" s="427"/>
      <c r="D39" s="427"/>
      <c r="E39" s="427"/>
    </row>
    <row r="40" spans="1:5" ht="16.5" customHeight="1" x14ac:dyDescent="0.3">
      <c r="A40" s="428" t="s">
        <v>6</v>
      </c>
      <c r="B40" s="429"/>
      <c r="C40" s="427"/>
      <c r="D40" s="427"/>
      <c r="E40" s="427"/>
    </row>
    <row r="41" spans="1:5" ht="16.5" customHeight="1" x14ac:dyDescent="0.3">
      <c r="A41" s="425" t="s">
        <v>8</v>
      </c>
      <c r="B41" s="429"/>
      <c r="C41" s="427"/>
      <c r="D41" s="427"/>
      <c r="E41" s="427"/>
    </row>
    <row r="42" spans="1:5" ht="16.5" customHeight="1" x14ac:dyDescent="0.3">
      <c r="A42" s="425" t="s">
        <v>10</v>
      </c>
      <c r="B42" s="430"/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 x14ac:dyDescent="0.3">
      <c r="A45" s="433">
        <v>1</v>
      </c>
      <c r="B45" s="434"/>
      <c r="C45" s="434"/>
      <c r="D45" s="435"/>
      <c r="E45" s="436"/>
    </row>
    <row r="46" spans="1:5" ht="16.5" customHeight="1" x14ac:dyDescent="0.3">
      <c r="A46" s="433">
        <v>2</v>
      </c>
      <c r="B46" s="434"/>
      <c r="C46" s="434"/>
      <c r="D46" s="435"/>
      <c r="E46" s="435"/>
    </row>
    <row r="47" spans="1:5" ht="16.5" customHeight="1" x14ac:dyDescent="0.3">
      <c r="A47" s="433">
        <v>3</v>
      </c>
      <c r="B47" s="434"/>
      <c r="C47" s="434"/>
      <c r="D47" s="435"/>
      <c r="E47" s="435"/>
    </row>
    <row r="48" spans="1:5" ht="16.5" customHeight="1" x14ac:dyDescent="0.3">
      <c r="A48" s="433">
        <v>4</v>
      </c>
      <c r="B48" s="434"/>
      <c r="C48" s="434"/>
      <c r="D48" s="435"/>
      <c r="E48" s="435"/>
    </row>
    <row r="49" spans="1:7" ht="16.5" customHeight="1" x14ac:dyDescent="0.3">
      <c r="A49" s="433">
        <v>5</v>
      </c>
      <c r="B49" s="434"/>
      <c r="C49" s="434"/>
      <c r="D49" s="435"/>
      <c r="E49" s="435"/>
    </row>
    <row r="50" spans="1:7" ht="16.5" customHeight="1" x14ac:dyDescent="0.3">
      <c r="A50" s="433">
        <v>6</v>
      </c>
      <c r="B50" s="437"/>
      <c r="C50" s="437"/>
      <c r="D50" s="438"/>
      <c r="E50" s="438"/>
    </row>
    <row r="51" spans="1:7" ht="16.5" customHeight="1" x14ac:dyDescent="0.3">
      <c r="A51" s="439" t="s">
        <v>18</v>
      </c>
      <c r="B51" s="440" t="e">
        <f>AVERAGE(B45:B50)</f>
        <v>#DIV/0!</v>
      </c>
      <c r="C51" s="441" t="e">
        <f>AVERAGE(C45:C50)</f>
        <v>#DIV/0!</v>
      </c>
      <c r="D51" s="442" t="e">
        <f>AVERAGE(D45:D50)</f>
        <v>#DIV/0!</v>
      </c>
      <c r="E51" s="442" t="e">
        <f>AVERAGE(E45:E50)</f>
        <v>#DIV/0!</v>
      </c>
    </row>
    <row r="52" spans="1:7" ht="16.5" customHeight="1" x14ac:dyDescent="0.3">
      <c r="A52" s="443" t="s">
        <v>19</v>
      </c>
      <c r="B52" s="444" t="e">
        <f>(STDEV(B45:B50)/B51)</f>
        <v>#DIV/0!</v>
      </c>
      <c r="C52" s="445"/>
      <c r="D52" s="445"/>
      <c r="E52" s="446"/>
    </row>
    <row r="53" spans="1:7" s="421" customFormat="1" ht="16.5" customHeight="1" x14ac:dyDescent="0.3">
      <c r="A53" s="447" t="s">
        <v>20</v>
      </c>
      <c r="B53" s="448">
        <f>COUNT(B45:B50)</f>
        <v>0</v>
      </c>
      <c r="C53" s="449"/>
      <c r="D53" s="450"/>
      <c r="E53" s="451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21</v>
      </c>
      <c r="B55" s="452" t="s">
        <v>22</v>
      </c>
      <c r="C55" s="453"/>
      <c r="D55" s="453"/>
      <c r="E55" s="453"/>
    </row>
    <row r="56" spans="1:7" ht="16.5" customHeight="1" x14ac:dyDescent="0.3">
      <c r="A56" s="428"/>
      <c r="B56" s="452" t="s">
        <v>23</v>
      </c>
      <c r="C56" s="453"/>
      <c r="D56" s="453"/>
      <c r="E56" s="453"/>
    </row>
    <row r="57" spans="1:7" ht="16.5" customHeight="1" x14ac:dyDescent="0.3">
      <c r="A57" s="428"/>
      <c r="B57" s="452" t="s">
        <v>24</v>
      </c>
      <c r="C57" s="453"/>
      <c r="D57" s="453"/>
      <c r="E57" s="453"/>
    </row>
    <row r="58" spans="1:7" ht="14.25" customHeight="1" thickBot="1" x14ac:dyDescent="0.3">
      <c r="A58" s="454"/>
      <c r="B58" s="455"/>
      <c r="D58" s="456"/>
      <c r="F58" s="457"/>
      <c r="G58" s="457"/>
    </row>
    <row r="59" spans="1:7" ht="15" customHeight="1" x14ac:dyDescent="0.3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 x14ac:dyDescent="0.3">
      <c r="A60" s="460" t="s">
        <v>29</v>
      </c>
      <c r="B60" s="461"/>
      <c r="C60" s="461"/>
      <c r="E60" s="461"/>
      <c r="G60" s="461"/>
    </row>
    <row r="61" spans="1:7" ht="15" customHeight="1" x14ac:dyDescent="0.3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3" zoomScale="60" zoomScaleNormal="40" zoomScalePageLayoutView="42" workbookViewId="0">
      <selection activeCell="B129" sqref="B129"/>
    </sheetView>
  </sheetViews>
  <sheetFormatPr defaultColWidth="9.140625" defaultRowHeight="13.5" x14ac:dyDescent="0.2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 x14ac:dyDescent="0.35">
      <c r="A15" s="255"/>
    </row>
    <row r="16" spans="1:9" ht="19.5" customHeight="1" thickBot="1" x14ac:dyDescent="0.35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257" t="s">
        <v>33</v>
      </c>
      <c r="B18" s="516" t="s">
        <v>5</v>
      </c>
      <c r="C18" s="516"/>
      <c r="D18" s="258"/>
      <c r="E18" s="259"/>
      <c r="F18" s="260"/>
      <c r="G18" s="260"/>
      <c r="H18" s="260"/>
    </row>
    <row r="19" spans="1:14" ht="26.25" customHeight="1" x14ac:dyDescent="0.4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 x14ac:dyDescent="0.4">
      <c r="A20" s="257" t="s">
        <v>35</v>
      </c>
      <c r="B20" s="517" t="s">
        <v>137</v>
      </c>
      <c r="C20" s="517"/>
      <c r="D20" s="260"/>
      <c r="E20" s="260"/>
      <c r="F20" s="260"/>
      <c r="G20" s="260"/>
      <c r="H20" s="260"/>
    </row>
    <row r="21" spans="1:14" ht="26.25" customHeight="1" x14ac:dyDescent="0.4">
      <c r="A21" s="257" t="s">
        <v>36</v>
      </c>
      <c r="B21" s="517" t="s">
        <v>135</v>
      </c>
      <c r="C21" s="517"/>
      <c r="D21" s="517"/>
      <c r="E21" s="517"/>
      <c r="F21" s="517"/>
      <c r="G21" s="517"/>
      <c r="H21" s="517"/>
      <c r="I21" s="262"/>
    </row>
    <row r="22" spans="1:14" ht="26.25" customHeight="1" x14ac:dyDescent="0.4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 x14ac:dyDescent="0.4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 x14ac:dyDescent="0.3">
      <c r="A24" s="257"/>
      <c r="B24" s="264"/>
    </row>
    <row r="25" spans="1:14" ht="18.75" x14ac:dyDescent="0.3">
      <c r="A25" s="265" t="s">
        <v>1</v>
      </c>
      <c r="B25" s="264"/>
    </row>
    <row r="26" spans="1:14" ht="26.25" customHeight="1" x14ac:dyDescent="0.4">
      <c r="A26" s="266" t="s">
        <v>4</v>
      </c>
      <c r="B26" s="516" t="s">
        <v>138</v>
      </c>
      <c r="C26" s="516"/>
    </row>
    <row r="27" spans="1:14" ht="26.25" customHeight="1" x14ac:dyDescent="0.4">
      <c r="A27" s="267" t="s">
        <v>48</v>
      </c>
      <c r="B27" s="518" t="s">
        <v>139</v>
      </c>
      <c r="C27" s="518"/>
    </row>
    <row r="28" spans="1:14" ht="27" customHeight="1" thickBot="1" x14ac:dyDescent="0.45">
      <c r="A28" s="267" t="s">
        <v>6</v>
      </c>
      <c r="B28" s="268">
        <v>100.33</v>
      </c>
    </row>
    <row r="29" spans="1:14" s="270" customFormat="1" ht="27" customHeight="1" thickBot="1" x14ac:dyDescent="0.45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 x14ac:dyDescent="0.35">
      <c r="A30" s="267" t="s">
        <v>51</v>
      </c>
      <c r="B30" s="272">
        <f>B28-B29</f>
        <v>100.33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 x14ac:dyDescent="0.45">
      <c r="A31" s="267" t="s">
        <v>52</v>
      </c>
      <c r="B31" s="275">
        <v>1</v>
      </c>
      <c r="C31" s="507" t="s">
        <v>53</v>
      </c>
      <c r="D31" s="508"/>
      <c r="E31" s="508"/>
      <c r="F31" s="508"/>
      <c r="G31" s="508"/>
      <c r="H31" s="509"/>
      <c r="I31" s="271"/>
      <c r="J31" s="271"/>
      <c r="K31" s="271"/>
      <c r="L31" s="271"/>
    </row>
    <row r="32" spans="1:14" s="270" customFormat="1" ht="27" customHeight="1" thickBot="1" x14ac:dyDescent="0.45">
      <c r="A32" s="267" t="s">
        <v>54</v>
      </c>
      <c r="B32" s="275">
        <v>1</v>
      </c>
      <c r="C32" s="507" t="s">
        <v>55</v>
      </c>
      <c r="D32" s="508"/>
      <c r="E32" s="508"/>
      <c r="F32" s="508"/>
      <c r="G32" s="508"/>
      <c r="H32" s="509"/>
      <c r="I32" s="271"/>
      <c r="J32" s="271"/>
      <c r="K32" s="271"/>
      <c r="L32" s="276"/>
      <c r="M32" s="276"/>
      <c r="N32" s="277"/>
    </row>
    <row r="33" spans="1:14" s="270" customFormat="1" ht="17.25" customHeight="1" x14ac:dyDescent="0.3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 x14ac:dyDescent="0.3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 x14ac:dyDescent="0.35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 x14ac:dyDescent="0.45">
      <c r="A36" s="281" t="s">
        <v>58</v>
      </c>
      <c r="B36" s="282">
        <v>25</v>
      </c>
      <c r="C36" s="255"/>
      <c r="D36" s="523" t="s">
        <v>59</v>
      </c>
      <c r="E36" s="524"/>
      <c r="F36" s="523" t="s">
        <v>60</v>
      </c>
      <c r="G36" s="525"/>
      <c r="J36" s="271"/>
      <c r="K36" s="271"/>
      <c r="L36" s="276"/>
      <c r="M36" s="276"/>
      <c r="N36" s="277"/>
    </row>
    <row r="37" spans="1:14" s="270" customFormat="1" ht="27" customHeight="1" thickBot="1" x14ac:dyDescent="0.45">
      <c r="A37" s="283" t="s">
        <v>61</v>
      </c>
      <c r="B37" s="284">
        <v>5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 x14ac:dyDescent="0.4">
      <c r="A38" s="283" t="s">
        <v>66</v>
      </c>
      <c r="B38" s="284">
        <v>50</v>
      </c>
      <c r="C38" s="290">
        <v>1</v>
      </c>
      <c r="D38" s="291">
        <v>17147579</v>
      </c>
      <c r="E38" s="292">
        <f>IF(ISBLANK(D38),"-",$D$48/$D$45*D38)</f>
        <v>18066784.473815687</v>
      </c>
      <c r="F38" s="291">
        <v>17630898</v>
      </c>
      <c r="G38" s="293">
        <f>IF(ISBLANK(F38),"-",$D$48/$F$45*F38)</f>
        <v>17959026.474769183</v>
      </c>
      <c r="I38" s="294"/>
      <c r="J38" s="271"/>
      <c r="K38" s="271"/>
      <c r="L38" s="276"/>
      <c r="M38" s="276"/>
      <c r="N38" s="277"/>
    </row>
    <row r="39" spans="1:14" s="270" customFormat="1" ht="26.25" customHeight="1" x14ac:dyDescent="0.4">
      <c r="A39" s="283" t="s">
        <v>67</v>
      </c>
      <c r="B39" s="284">
        <v>1</v>
      </c>
      <c r="C39" s="295">
        <v>2</v>
      </c>
      <c r="D39" s="296">
        <v>17183867</v>
      </c>
      <c r="E39" s="297">
        <f>IF(ISBLANK(D39),"-",$D$48/$D$45*D39)</f>
        <v>18105017.712162968</v>
      </c>
      <c r="F39" s="296">
        <v>17637721</v>
      </c>
      <c r="G39" s="298">
        <f>IF(ISBLANK(F39),"-",$D$48/$F$45*F39)</f>
        <v>17965976.457557205</v>
      </c>
      <c r="I39" s="526">
        <f>ABS((F43/D43*D42)-F42)/D42</f>
        <v>6.9637635096151361E-3</v>
      </c>
      <c r="J39" s="271"/>
      <c r="K39" s="271"/>
      <c r="L39" s="276"/>
      <c r="M39" s="276"/>
      <c r="N39" s="277"/>
    </row>
    <row r="40" spans="1:14" ht="26.25" customHeight="1" x14ac:dyDescent="0.4">
      <c r="A40" s="283" t="s">
        <v>68</v>
      </c>
      <c r="B40" s="284">
        <v>1</v>
      </c>
      <c r="C40" s="295">
        <v>3</v>
      </c>
      <c r="D40" s="296">
        <v>17218207</v>
      </c>
      <c r="E40" s="297">
        <f>IF(ISBLANK(D40),"-",$D$48/$D$45*D40)</f>
        <v>18141198.526890855</v>
      </c>
      <c r="F40" s="296">
        <v>17693052</v>
      </c>
      <c r="G40" s="298">
        <f>IF(ISBLANK(F40),"-",$D$48/$F$45*F40)</f>
        <v>18022337.222271256</v>
      </c>
      <c r="I40" s="526"/>
      <c r="L40" s="276"/>
      <c r="M40" s="276"/>
      <c r="N40" s="255"/>
    </row>
    <row r="41" spans="1:14" ht="27" customHeight="1" thickBot="1" x14ac:dyDescent="0.45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 x14ac:dyDescent="0.45">
      <c r="A42" s="283" t="s">
        <v>70</v>
      </c>
      <c r="B42" s="284">
        <v>1</v>
      </c>
      <c r="C42" s="304" t="s">
        <v>71</v>
      </c>
      <c r="D42" s="305">
        <f>AVERAGE(D38:D41)</f>
        <v>17183217.666666668</v>
      </c>
      <c r="E42" s="306">
        <f>AVERAGE(E38:E41)</f>
        <v>18104333.570956502</v>
      </c>
      <c r="F42" s="305">
        <f>AVERAGE(F38:F41)</f>
        <v>17653890.333333332</v>
      </c>
      <c r="G42" s="307">
        <f>AVERAGE(G38:G41)</f>
        <v>17982446.718199216</v>
      </c>
      <c r="H42" s="308"/>
    </row>
    <row r="43" spans="1:14" ht="26.25" customHeight="1" x14ac:dyDescent="0.4">
      <c r="A43" s="283" t="s">
        <v>72</v>
      </c>
      <c r="B43" s="284">
        <v>1</v>
      </c>
      <c r="C43" s="309" t="s">
        <v>73</v>
      </c>
      <c r="D43" s="310">
        <v>18.920000000000002</v>
      </c>
      <c r="E43" s="255"/>
      <c r="F43" s="310">
        <v>19.57</v>
      </c>
      <c r="H43" s="308"/>
    </row>
    <row r="44" spans="1:14" ht="26.25" customHeight="1" x14ac:dyDescent="0.4">
      <c r="A44" s="283" t="s">
        <v>74</v>
      </c>
      <c r="B44" s="284">
        <v>1</v>
      </c>
      <c r="C44" s="311" t="s">
        <v>75</v>
      </c>
      <c r="D44" s="312">
        <f>D43*$B$34</f>
        <v>18.920000000000002</v>
      </c>
      <c r="E44" s="313"/>
      <c r="F44" s="312">
        <f>F43*$B$34</f>
        <v>19.57</v>
      </c>
      <c r="H44" s="308"/>
    </row>
    <row r="45" spans="1:14" ht="19.5" customHeight="1" thickBot="1" x14ac:dyDescent="0.35">
      <c r="A45" s="283" t="s">
        <v>76</v>
      </c>
      <c r="B45" s="295">
        <f>(B44/B43)*(B42/B41)*(B40/B39)*(B38/B37)*B36</f>
        <v>250</v>
      </c>
      <c r="C45" s="311" t="s">
        <v>77</v>
      </c>
      <c r="D45" s="314">
        <f>D44*$B$30/100</f>
        <v>18.982436000000003</v>
      </c>
      <c r="E45" s="315"/>
      <c r="F45" s="314">
        <f>F44*$B$30/100</f>
        <v>19.634581000000001</v>
      </c>
      <c r="H45" s="308"/>
    </row>
    <row r="46" spans="1:14" ht="19.5" customHeight="1" thickBot="1" x14ac:dyDescent="0.35">
      <c r="A46" s="527" t="s">
        <v>78</v>
      </c>
      <c r="B46" s="528"/>
      <c r="C46" s="311" t="s">
        <v>79</v>
      </c>
      <c r="D46" s="316">
        <f>D45/$B$45</f>
        <v>7.5929744000000007E-2</v>
      </c>
      <c r="E46" s="317"/>
      <c r="F46" s="318">
        <f>F45/$B$45</f>
        <v>7.8538324000000007E-2</v>
      </c>
      <c r="H46" s="308"/>
    </row>
    <row r="47" spans="1:14" ht="27" customHeight="1" thickBot="1" x14ac:dyDescent="0.45">
      <c r="A47" s="529"/>
      <c r="B47" s="530"/>
      <c r="C47" s="319" t="s">
        <v>80</v>
      </c>
      <c r="D47" s="320">
        <v>0.08</v>
      </c>
      <c r="E47" s="321"/>
      <c r="F47" s="317"/>
      <c r="H47" s="308"/>
    </row>
    <row r="48" spans="1:14" ht="18.75" x14ac:dyDescent="0.3">
      <c r="C48" s="322" t="s">
        <v>81</v>
      </c>
      <c r="D48" s="314">
        <f>D47*$B$45</f>
        <v>20</v>
      </c>
      <c r="F48" s="323"/>
      <c r="H48" s="308"/>
    </row>
    <row r="49" spans="1:12" ht="19.5" customHeight="1" thickBot="1" x14ac:dyDescent="0.35">
      <c r="C49" s="324" t="s">
        <v>82</v>
      </c>
      <c r="D49" s="325">
        <f>D48/B34</f>
        <v>20</v>
      </c>
      <c r="F49" s="323"/>
      <c r="H49" s="308"/>
    </row>
    <row r="50" spans="1:12" ht="18.75" x14ac:dyDescent="0.3">
      <c r="C50" s="281" t="s">
        <v>83</v>
      </c>
      <c r="D50" s="326">
        <f>AVERAGE(E38:E41,G38:G41)</f>
        <v>18043390.144577861</v>
      </c>
      <c r="F50" s="327"/>
      <c r="H50" s="308"/>
    </row>
    <row r="51" spans="1:12" ht="18.75" x14ac:dyDescent="0.3">
      <c r="C51" s="283" t="s">
        <v>84</v>
      </c>
      <c r="D51" s="328">
        <f>STDEV(E38:E41,G38:G41)/D50</f>
        <v>4.107590783819377E-3</v>
      </c>
      <c r="F51" s="327"/>
      <c r="H51" s="308"/>
    </row>
    <row r="52" spans="1:12" ht="19.5" customHeight="1" thickBot="1" x14ac:dyDescent="0.35">
      <c r="C52" s="329" t="s">
        <v>20</v>
      </c>
      <c r="D52" s="330">
        <f>COUNT(E38:E41,G38:G41)</f>
        <v>6</v>
      </c>
      <c r="F52" s="327"/>
    </row>
    <row r="54" spans="1:12" ht="18.75" x14ac:dyDescent="0.3">
      <c r="A54" s="331" t="s">
        <v>1</v>
      </c>
      <c r="B54" s="332" t="s">
        <v>85</v>
      </c>
    </row>
    <row r="55" spans="1:12" ht="18.75" x14ac:dyDescent="0.3">
      <c r="A55" s="255" t="s">
        <v>86</v>
      </c>
      <c r="B55" s="333" t="str">
        <f>B21</f>
        <v>Each  dispersible tablet contains: Rifampicin BP 75 mg and Isoniazid BP 50 mg.</v>
      </c>
    </row>
    <row r="56" spans="1:12" ht="26.25" customHeight="1" x14ac:dyDescent="0.4">
      <c r="A56" s="333" t="s">
        <v>87</v>
      </c>
      <c r="B56" s="334">
        <v>50</v>
      </c>
      <c r="C56" s="255" t="str">
        <f>B20</f>
        <v>, Isoniazid</v>
      </c>
      <c r="H56" s="313"/>
    </row>
    <row r="57" spans="1:12" ht="18.75" x14ac:dyDescent="0.3">
      <c r="A57" s="333" t="s">
        <v>88</v>
      </c>
      <c r="B57" s="335">
        <f>Uniformity!C46</f>
        <v>321.48350000000011</v>
      </c>
      <c r="H57" s="313"/>
    </row>
    <row r="58" spans="1:12" ht="19.5" customHeight="1" thickBot="1" x14ac:dyDescent="0.35">
      <c r="H58" s="313"/>
    </row>
    <row r="59" spans="1:12" s="270" customFormat="1" ht="27" customHeight="1" thickBot="1" x14ac:dyDescent="0.45">
      <c r="A59" s="281" t="s">
        <v>89</v>
      </c>
      <c r="B59" s="282">
        <v>100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 x14ac:dyDescent="0.4">
      <c r="A60" s="283" t="s">
        <v>93</v>
      </c>
      <c r="B60" s="284">
        <v>4</v>
      </c>
      <c r="C60" s="531" t="s">
        <v>94</v>
      </c>
      <c r="D60" s="534">
        <f>Rifampicin!D60</f>
        <v>327.19</v>
      </c>
      <c r="E60" s="338">
        <v>1</v>
      </c>
      <c r="F60" s="339">
        <v>21616587</v>
      </c>
      <c r="G60" s="340">
        <f>IF(ISBLANK(F60),"-",(F60/$D$50*$D$47*$B$68)*($B$57/$D$60))</f>
        <v>47.085549466005446</v>
      </c>
      <c r="H60" s="341">
        <f t="shared" ref="H60:H71" si="0">IF(ISBLANK(F60),"-",(G60/$B$56)*100)</f>
        <v>94.171098932010892</v>
      </c>
      <c r="L60" s="271"/>
    </row>
    <row r="61" spans="1:12" s="270" customFormat="1" ht="26.25" customHeight="1" x14ac:dyDescent="0.4">
      <c r="A61" s="283" t="s">
        <v>95</v>
      </c>
      <c r="B61" s="284">
        <v>20</v>
      </c>
      <c r="C61" s="532"/>
      <c r="D61" s="535"/>
      <c r="E61" s="342">
        <v>2</v>
      </c>
      <c r="F61" s="296">
        <v>21749833</v>
      </c>
      <c r="G61" s="343">
        <f>IF(ISBLANK(F61),"-",(F61/$D$50*$D$47*$B$68)*($B$57/$D$60))</f>
        <v>47.375787750344557</v>
      </c>
      <c r="H61" s="344">
        <f t="shared" si="0"/>
        <v>94.751575500689114</v>
      </c>
      <c r="L61" s="271"/>
    </row>
    <row r="62" spans="1:12" s="270" customFormat="1" ht="26.25" customHeight="1" x14ac:dyDescent="0.4">
      <c r="A62" s="283" t="s">
        <v>96</v>
      </c>
      <c r="B62" s="284">
        <v>1</v>
      </c>
      <c r="C62" s="532"/>
      <c r="D62" s="535"/>
      <c r="E62" s="342">
        <v>3</v>
      </c>
      <c r="F62" s="345">
        <v>21738617</v>
      </c>
      <c r="G62" s="343">
        <f>IF(ISBLANK(F62),"-",(F62/$D$50*$D$47*$B$68)*($B$57/$D$60))</f>
        <v>47.351356903661383</v>
      </c>
      <c r="H62" s="344">
        <f t="shared" si="0"/>
        <v>94.702713807322766</v>
      </c>
      <c r="L62" s="271"/>
    </row>
    <row r="63" spans="1:12" ht="27" customHeight="1" thickBot="1" x14ac:dyDescent="0.45">
      <c r="A63" s="283" t="s">
        <v>97</v>
      </c>
      <c r="B63" s="284">
        <v>1</v>
      </c>
      <c r="C63" s="533"/>
      <c r="D63" s="536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 x14ac:dyDescent="0.4">
      <c r="A64" s="283" t="s">
        <v>98</v>
      </c>
      <c r="B64" s="284">
        <v>1</v>
      </c>
      <c r="C64" s="531" t="s">
        <v>99</v>
      </c>
      <c r="D64" s="534">
        <f>Rifampicin!D64</f>
        <v>327.13</v>
      </c>
      <c r="E64" s="338">
        <v>1</v>
      </c>
      <c r="F64" s="339">
        <v>21933501</v>
      </c>
      <c r="G64" s="340">
        <f>IF(ISBLANK(F64),"-",(F64/$D$50*$D$47*$B$68)*($B$57/$D$64))</f>
        <v>47.784618662509367</v>
      </c>
      <c r="H64" s="341">
        <f t="shared" si="0"/>
        <v>95.569237325018733</v>
      </c>
    </row>
    <row r="65" spans="1:8" ht="26.25" customHeight="1" x14ac:dyDescent="0.4">
      <c r="A65" s="283" t="s">
        <v>100</v>
      </c>
      <c r="B65" s="284">
        <v>1</v>
      </c>
      <c r="C65" s="532"/>
      <c r="D65" s="535"/>
      <c r="E65" s="342">
        <v>2</v>
      </c>
      <c r="F65" s="296">
        <v>21941463</v>
      </c>
      <c r="G65" s="343">
        <f>IF(ISBLANK(F65),"-",(F65/$D$50*$D$47*$B$68)*($B$57/$D$64))</f>
        <v>47.801964782209588</v>
      </c>
      <c r="H65" s="344">
        <f t="shared" si="0"/>
        <v>95.603929564419175</v>
      </c>
    </row>
    <row r="66" spans="1:8" ht="26.25" customHeight="1" x14ac:dyDescent="0.4">
      <c r="A66" s="283" t="s">
        <v>101</v>
      </c>
      <c r="B66" s="284">
        <v>1</v>
      </c>
      <c r="C66" s="532"/>
      <c r="D66" s="535"/>
      <c r="E66" s="342">
        <v>3</v>
      </c>
      <c r="F66" s="296">
        <v>22015574</v>
      </c>
      <c r="G66" s="343">
        <f>IF(ISBLANK(F66),"-",(F66/$D$50*$D$47*$B$68)*($B$57/$D$64))</f>
        <v>47.963423998123048</v>
      </c>
      <c r="H66" s="344">
        <f t="shared" si="0"/>
        <v>95.926847996246096</v>
      </c>
    </row>
    <row r="67" spans="1:8" ht="27" customHeight="1" thickBot="1" x14ac:dyDescent="0.45">
      <c r="A67" s="283" t="s">
        <v>102</v>
      </c>
      <c r="B67" s="284">
        <v>1</v>
      </c>
      <c r="C67" s="533"/>
      <c r="D67" s="536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 x14ac:dyDescent="0.4">
      <c r="A68" s="283" t="s">
        <v>103</v>
      </c>
      <c r="B68" s="350">
        <f>(B67/B66)*(B65/B64)*(B63/B62)*(B61/B60)*B59</f>
        <v>500</v>
      </c>
      <c r="C68" s="531" t="s">
        <v>104</v>
      </c>
      <c r="D68" s="534">
        <f>Rifampicin!D68</f>
        <v>325.29000000000002</v>
      </c>
      <c r="E68" s="338">
        <v>1</v>
      </c>
      <c r="F68" s="339">
        <v>22084152</v>
      </c>
      <c r="G68" s="340">
        <f>IF(ISBLANK(F68),"-",(F68/$D$50*$D$47*$B$68)*($B$57/$D$68))</f>
        <v>48.384978736447962</v>
      </c>
      <c r="H68" s="344">
        <f t="shared" si="0"/>
        <v>96.769957472895925</v>
      </c>
    </row>
    <row r="69" spans="1:8" ht="27" customHeight="1" thickBot="1" x14ac:dyDescent="0.45">
      <c r="A69" s="329" t="s">
        <v>105</v>
      </c>
      <c r="B69" s="351">
        <f>(D47*B68)/B56*B57</f>
        <v>257.18680000000012</v>
      </c>
      <c r="C69" s="532"/>
      <c r="D69" s="535"/>
      <c r="E69" s="342">
        <v>2</v>
      </c>
      <c r="F69" s="296">
        <v>22040326</v>
      </c>
      <c r="G69" s="343">
        <f>IF(ISBLANK(F69),"-",(F69/$D$50*$D$47*$B$68)*($B$57/$D$68))</f>
        <v>48.288958745365505</v>
      </c>
      <c r="H69" s="344">
        <f t="shared" si="0"/>
        <v>96.577917490731011</v>
      </c>
    </row>
    <row r="70" spans="1:8" ht="26.25" customHeight="1" x14ac:dyDescent="0.4">
      <c r="A70" s="538" t="s">
        <v>78</v>
      </c>
      <c r="B70" s="539"/>
      <c r="C70" s="532"/>
      <c r="D70" s="535"/>
      <c r="E70" s="342">
        <v>3</v>
      </c>
      <c r="F70" s="296">
        <v>21922461</v>
      </c>
      <c r="G70" s="343">
        <f>IF(ISBLANK(F70),"-",(F70/$D$50*$D$47*$B$68)*($B$57/$D$68))</f>
        <v>48.030723993187955</v>
      </c>
      <c r="H70" s="344">
        <f t="shared" si="0"/>
        <v>96.06144798637591</v>
      </c>
    </row>
    <row r="71" spans="1:8" ht="27" customHeight="1" thickBot="1" x14ac:dyDescent="0.45">
      <c r="A71" s="540"/>
      <c r="B71" s="541"/>
      <c r="C71" s="537"/>
      <c r="D71" s="536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 x14ac:dyDescent="0.4">
      <c r="A72" s="313"/>
      <c r="B72" s="313"/>
      <c r="C72" s="313"/>
      <c r="D72" s="313"/>
      <c r="E72" s="313"/>
      <c r="F72" s="352" t="s">
        <v>71</v>
      </c>
      <c r="G72" s="353">
        <f>AVERAGE(G60:G71)</f>
        <v>47.785262559761648</v>
      </c>
      <c r="H72" s="354">
        <f>AVERAGE(H60:H71)</f>
        <v>95.570525119523296</v>
      </c>
    </row>
    <row r="73" spans="1:8" ht="26.25" customHeight="1" x14ac:dyDescent="0.4">
      <c r="C73" s="313"/>
      <c r="D73" s="313"/>
      <c r="E73" s="313"/>
      <c r="F73" s="355" t="s">
        <v>84</v>
      </c>
      <c r="G73" s="356">
        <f>STDEV(G60:G71)/G72</f>
        <v>9.2149428019371645E-3</v>
      </c>
      <c r="H73" s="356">
        <f>STDEV(H60:H71)/H72</f>
        <v>9.2149428019371645E-3</v>
      </c>
    </row>
    <row r="74" spans="1:8" ht="27" customHeight="1" thickBot="1" x14ac:dyDescent="0.45">
      <c r="A74" s="313"/>
      <c r="B74" s="313"/>
      <c r="C74" s="313"/>
      <c r="D74" s="313"/>
      <c r="E74" s="315"/>
      <c r="F74" s="357" t="s">
        <v>20</v>
      </c>
      <c r="G74" s="358">
        <f>COUNT(G60:G71)</f>
        <v>9</v>
      </c>
      <c r="H74" s="358">
        <f>COUNT(H60:H71)</f>
        <v>9</v>
      </c>
    </row>
    <row r="76" spans="1:8" ht="26.25" customHeight="1" x14ac:dyDescent="0.4">
      <c r="A76" s="266" t="s">
        <v>106</v>
      </c>
      <c r="B76" s="267" t="s">
        <v>107</v>
      </c>
      <c r="C76" s="522" t="str">
        <f>B26</f>
        <v>ISONIAZID</v>
      </c>
      <c r="D76" s="522"/>
      <c r="E76" s="255" t="s">
        <v>108</v>
      </c>
      <c r="F76" s="255"/>
      <c r="G76" s="359">
        <f>H72</f>
        <v>95.570525119523296</v>
      </c>
      <c r="H76" s="272"/>
    </row>
    <row r="77" spans="1:8" ht="18.75" x14ac:dyDescent="0.3">
      <c r="A77" s="265" t="s">
        <v>109</v>
      </c>
      <c r="B77" s="265" t="s">
        <v>110</v>
      </c>
    </row>
    <row r="78" spans="1:8" ht="18.75" x14ac:dyDescent="0.3">
      <c r="A78" s="265"/>
      <c r="B78" s="265"/>
    </row>
    <row r="79" spans="1:8" ht="26.25" customHeight="1" x14ac:dyDescent="0.4">
      <c r="A79" s="266" t="s">
        <v>4</v>
      </c>
      <c r="B79" s="543" t="str">
        <f>B26</f>
        <v>ISONIAZID</v>
      </c>
      <c r="C79" s="543"/>
    </row>
    <row r="80" spans="1:8" ht="26.25" customHeight="1" x14ac:dyDescent="0.4">
      <c r="A80" s="267" t="s">
        <v>48</v>
      </c>
      <c r="B80" s="543" t="str">
        <f>B27</f>
        <v>I8-4</v>
      </c>
      <c r="C80" s="543"/>
    </row>
    <row r="81" spans="1:12" ht="27" customHeight="1" thickBot="1" x14ac:dyDescent="0.45">
      <c r="A81" s="267" t="s">
        <v>6</v>
      </c>
      <c r="B81" s="268"/>
    </row>
    <row r="82" spans="1:12" s="270" customFormat="1" ht="27" customHeight="1" thickBot="1" x14ac:dyDescent="0.45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 x14ac:dyDescent="0.35">
      <c r="A83" s="267" t="s">
        <v>51</v>
      </c>
      <c r="B83" s="272">
        <f>B81-B82</f>
        <v>0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 x14ac:dyDescent="0.45">
      <c r="A84" s="267" t="s">
        <v>52</v>
      </c>
      <c r="B84" s="275"/>
      <c r="C84" s="507" t="s">
        <v>111</v>
      </c>
      <c r="D84" s="508"/>
      <c r="E84" s="508"/>
      <c r="F84" s="508"/>
      <c r="G84" s="508"/>
      <c r="H84" s="509"/>
      <c r="I84" s="271"/>
      <c r="J84" s="271"/>
      <c r="K84" s="271"/>
      <c r="L84" s="271"/>
    </row>
    <row r="85" spans="1:12" s="270" customFormat="1" ht="27" customHeight="1" thickBot="1" x14ac:dyDescent="0.45">
      <c r="A85" s="267" t="s">
        <v>54</v>
      </c>
      <c r="B85" s="275"/>
      <c r="C85" s="507" t="s">
        <v>112</v>
      </c>
      <c r="D85" s="508"/>
      <c r="E85" s="508"/>
      <c r="F85" s="508"/>
      <c r="G85" s="508"/>
      <c r="H85" s="509"/>
      <c r="I85" s="271"/>
      <c r="J85" s="271"/>
      <c r="K85" s="271"/>
      <c r="L85" s="271"/>
    </row>
    <row r="86" spans="1:12" s="270" customFormat="1" ht="18.75" x14ac:dyDescent="0.3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 x14ac:dyDescent="0.3">
      <c r="A87" s="267" t="s">
        <v>56</v>
      </c>
      <c r="B87" s="280" t="e">
        <f>B84/B85</f>
        <v>#DIV/0!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 x14ac:dyDescent="0.35">
      <c r="A88" s="265"/>
      <c r="B88" s="265"/>
    </row>
    <row r="89" spans="1:12" ht="27" customHeight="1" thickBot="1" x14ac:dyDescent="0.45">
      <c r="A89" s="281" t="s">
        <v>58</v>
      </c>
      <c r="B89" s="282"/>
      <c r="D89" s="360" t="s">
        <v>59</v>
      </c>
      <c r="E89" s="361"/>
      <c r="F89" s="523" t="s">
        <v>60</v>
      </c>
      <c r="G89" s="525"/>
    </row>
    <row r="90" spans="1:12" ht="27" customHeight="1" thickBot="1" x14ac:dyDescent="0.45">
      <c r="A90" s="283" t="s">
        <v>61</v>
      </c>
      <c r="B90" s="284"/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 x14ac:dyDescent="0.4">
      <c r="A91" s="283" t="s">
        <v>66</v>
      </c>
      <c r="B91" s="284"/>
      <c r="C91" s="364">
        <v>1</v>
      </c>
      <c r="D91" s="291"/>
      <c r="E91" s="292" t="str">
        <f>IF(ISBLANK(D91),"-",$D$101/$D$98*D91)</f>
        <v>-</v>
      </c>
      <c r="F91" s="291"/>
      <c r="G91" s="293" t="str">
        <f>IF(ISBLANK(F91),"-",$D$101/$F$98*F91)</f>
        <v>-</v>
      </c>
      <c r="I91" s="294"/>
    </row>
    <row r="92" spans="1:12" ht="26.25" customHeight="1" x14ac:dyDescent="0.4">
      <c r="A92" s="283" t="s">
        <v>67</v>
      </c>
      <c r="B92" s="284">
        <v>1</v>
      </c>
      <c r="C92" s="313">
        <v>2</v>
      </c>
      <c r="D92" s="296"/>
      <c r="E92" s="297" t="str">
        <f>IF(ISBLANK(D92),"-",$D$101/$D$98*D92)</f>
        <v>-</v>
      </c>
      <c r="F92" s="296"/>
      <c r="G92" s="298" t="str">
        <f>IF(ISBLANK(F92),"-",$D$101/$F$98*F92)</f>
        <v>-</v>
      </c>
      <c r="I92" s="526" t="e">
        <f>ABS((F96/D96*D95)-F95)/D95</f>
        <v>#DIV/0!</v>
      </c>
    </row>
    <row r="93" spans="1:12" ht="26.25" customHeight="1" x14ac:dyDescent="0.4">
      <c r="A93" s="283" t="s">
        <v>68</v>
      </c>
      <c r="B93" s="284">
        <v>1</v>
      </c>
      <c r="C93" s="313">
        <v>3</v>
      </c>
      <c r="D93" s="296"/>
      <c r="E93" s="297" t="str">
        <f>IF(ISBLANK(D93),"-",$D$101/$D$98*D93)</f>
        <v>-</v>
      </c>
      <c r="F93" s="296"/>
      <c r="G93" s="298" t="str">
        <f>IF(ISBLANK(F93),"-",$D$101/$F$98*F93)</f>
        <v>-</v>
      </c>
      <c r="I93" s="526"/>
    </row>
    <row r="94" spans="1:12" ht="27" customHeight="1" thickBot="1" x14ac:dyDescent="0.45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 x14ac:dyDescent="0.45">
      <c r="A95" s="283" t="s">
        <v>70</v>
      </c>
      <c r="B95" s="284">
        <v>1</v>
      </c>
      <c r="C95" s="267" t="s">
        <v>71</v>
      </c>
      <c r="D95" s="367" t="e">
        <f>AVERAGE(D91:D94)</f>
        <v>#DIV/0!</v>
      </c>
      <c r="E95" s="306" t="e">
        <f>AVERAGE(E91:E94)</f>
        <v>#DIV/0!</v>
      </c>
      <c r="F95" s="368" t="e">
        <f>AVERAGE(F91:F94)</f>
        <v>#DIV/0!</v>
      </c>
      <c r="G95" s="369" t="e">
        <f>AVERAGE(G91:G94)</f>
        <v>#DIV/0!</v>
      </c>
    </row>
    <row r="96" spans="1:12" ht="26.25" customHeight="1" x14ac:dyDescent="0.4">
      <c r="A96" s="283" t="s">
        <v>72</v>
      </c>
      <c r="B96" s="268">
        <v>1</v>
      </c>
      <c r="C96" s="370" t="s">
        <v>113</v>
      </c>
      <c r="D96" s="371"/>
      <c r="E96" s="255"/>
      <c r="F96" s="310"/>
    </row>
    <row r="97" spans="1:10" ht="26.25" customHeight="1" x14ac:dyDescent="0.4">
      <c r="A97" s="283" t="s">
        <v>74</v>
      </c>
      <c r="B97" s="268">
        <v>1</v>
      </c>
      <c r="C97" s="372" t="s">
        <v>114</v>
      </c>
      <c r="D97" s="373" t="e">
        <f>D96*$B$87</f>
        <v>#DIV/0!</v>
      </c>
      <c r="E97" s="313"/>
      <c r="F97" s="312" t="e">
        <f>F96*$B$87</f>
        <v>#DIV/0!</v>
      </c>
    </row>
    <row r="98" spans="1:10" ht="19.5" customHeight="1" thickBot="1" x14ac:dyDescent="0.35">
      <c r="A98" s="283" t="s">
        <v>76</v>
      </c>
      <c r="B98" s="313" t="e">
        <f>(B97/B96)*(B95/B94)*(B93/B92)*(B91/B90)*B89</f>
        <v>#DIV/0!</v>
      </c>
      <c r="C98" s="372" t="s">
        <v>115</v>
      </c>
      <c r="D98" s="374" t="e">
        <f>D97*$B$83/100</f>
        <v>#DIV/0!</v>
      </c>
      <c r="E98" s="315"/>
      <c r="F98" s="314" t="e">
        <f>F97*$B$83/100</f>
        <v>#DIV/0!</v>
      </c>
    </row>
    <row r="99" spans="1:10" ht="19.5" customHeight="1" thickBot="1" x14ac:dyDescent="0.35">
      <c r="A99" s="527" t="s">
        <v>78</v>
      </c>
      <c r="B99" s="544"/>
      <c r="C99" s="372" t="s">
        <v>116</v>
      </c>
      <c r="D99" s="375" t="e">
        <f>D98/$B$98</f>
        <v>#DIV/0!</v>
      </c>
      <c r="E99" s="315"/>
      <c r="F99" s="318" t="e">
        <f>F98/$B$98</f>
        <v>#DIV/0!</v>
      </c>
      <c r="H99" s="308"/>
    </row>
    <row r="100" spans="1:10" ht="19.5" customHeight="1" thickBot="1" x14ac:dyDescent="0.35">
      <c r="A100" s="529"/>
      <c r="B100" s="545"/>
      <c r="C100" s="372" t="s">
        <v>80</v>
      </c>
      <c r="D100" s="376" t="e">
        <f>$B$56/$B$116</f>
        <v>#DIV/0!</v>
      </c>
      <c r="F100" s="323"/>
      <c r="G100" s="377"/>
      <c r="H100" s="308"/>
    </row>
    <row r="101" spans="1:10" ht="18.75" x14ac:dyDescent="0.3">
      <c r="C101" s="372" t="s">
        <v>81</v>
      </c>
      <c r="D101" s="373" t="e">
        <f>D100*$B$98</f>
        <v>#DIV/0!</v>
      </c>
      <c r="F101" s="323"/>
      <c r="H101" s="308"/>
    </row>
    <row r="102" spans="1:10" ht="19.5" customHeight="1" thickBot="1" x14ac:dyDescent="0.35">
      <c r="C102" s="378" t="s">
        <v>82</v>
      </c>
      <c r="D102" s="379" t="e">
        <f>D101/B34</f>
        <v>#DIV/0!</v>
      </c>
      <c r="F102" s="327"/>
      <c r="H102" s="308"/>
      <c r="J102" s="380"/>
    </row>
    <row r="103" spans="1:10" ht="18.75" x14ac:dyDescent="0.3">
      <c r="C103" s="381" t="s">
        <v>117</v>
      </c>
      <c r="D103" s="382" t="e">
        <f>AVERAGE(E91:E94,G91:G94)</f>
        <v>#DIV/0!</v>
      </c>
      <c r="F103" s="327"/>
      <c r="G103" s="377"/>
      <c r="H103" s="308"/>
      <c r="J103" s="383"/>
    </row>
    <row r="104" spans="1:10" ht="18.75" x14ac:dyDescent="0.3">
      <c r="C104" s="355" t="s">
        <v>84</v>
      </c>
      <c r="D104" s="384" t="e">
        <f>STDEV(E91:E94,G91:G94)/D103</f>
        <v>#DIV/0!</v>
      </c>
      <c r="F104" s="327"/>
      <c r="H104" s="308"/>
      <c r="J104" s="383"/>
    </row>
    <row r="105" spans="1:10" ht="19.5" customHeight="1" thickBot="1" x14ac:dyDescent="0.35">
      <c r="C105" s="357" t="s">
        <v>20</v>
      </c>
      <c r="D105" s="385">
        <f>COUNT(E91:E94,G91:G94)</f>
        <v>0</v>
      </c>
      <c r="F105" s="327"/>
      <c r="H105" s="308"/>
      <c r="J105" s="383"/>
    </row>
    <row r="106" spans="1:10" ht="19.5" customHeight="1" thickBot="1" x14ac:dyDescent="0.35">
      <c r="A106" s="331"/>
      <c r="B106" s="331"/>
      <c r="C106" s="331"/>
      <c r="D106" s="331"/>
      <c r="E106" s="331"/>
    </row>
    <row r="107" spans="1:10" ht="27" customHeight="1" thickBot="1" x14ac:dyDescent="0.45">
      <c r="A107" s="281" t="s">
        <v>118</v>
      </c>
      <c r="B107" s="282"/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 x14ac:dyDescent="0.4">
      <c r="A108" s="283" t="s">
        <v>122</v>
      </c>
      <c r="B108" s="284"/>
      <c r="C108" s="338">
        <v>1</v>
      </c>
      <c r="D108" s="387"/>
      <c r="E108" s="388" t="str">
        <f t="shared" ref="E108:E113" si="1">IF(ISBLANK(D108),"-",D108/$D$103*$D$100*$B$116)</f>
        <v>-</v>
      </c>
      <c r="F108" s="389" t="str">
        <f t="shared" ref="F108:F113" si="2">IF(ISBLANK(D108), "-", (E108/$B$56)*100)</f>
        <v>-</v>
      </c>
    </row>
    <row r="109" spans="1:10" ht="26.25" customHeight="1" x14ac:dyDescent="0.4">
      <c r="A109" s="283" t="s">
        <v>95</v>
      </c>
      <c r="B109" s="284"/>
      <c r="C109" s="342">
        <v>2</v>
      </c>
      <c r="D109" s="390"/>
      <c r="E109" s="391" t="str">
        <f t="shared" si="1"/>
        <v>-</v>
      </c>
      <c r="F109" s="392" t="str">
        <f t="shared" si="2"/>
        <v>-</v>
      </c>
    </row>
    <row r="110" spans="1:10" ht="26.25" customHeight="1" x14ac:dyDescent="0.4">
      <c r="A110" s="283" t="s">
        <v>96</v>
      </c>
      <c r="B110" s="284">
        <v>1</v>
      </c>
      <c r="C110" s="342">
        <v>3</v>
      </c>
      <c r="D110" s="390"/>
      <c r="E110" s="391" t="str">
        <f t="shared" si="1"/>
        <v>-</v>
      </c>
      <c r="F110" s="392" t="str">
        <f t="shared" si="2"/>
        <v>-</v>
      </c>
    </row>
    <row r="111" spans="1:10" ht="26.25" customHeight="1" x14ac:dyDescent="0.4">
      <c r="A111" s="283" t="s">
        <v>97</v>
      </c>
      <c r="B111" s="284">
        <v>1</v>
      </c>
      <c r="C111" s="342">
        <v>4</v>
      </c>
      <c r="D111" s="390"/>
      <c r="E111" s="391" t="str">
        <f t="shared" si="1"/>
        <v>-</v>
      </c>
      <c r="F111" s="392" t="str">
        <f t="shared" si="2"/>
        <v>-</v>
      </c>
    </row>
    <row r="112" spans="1:10" ht="26.25" customHeight="1" x14ac:dyDescent="0.4">
      <c r="A112" s="283" t="s">
        <v>98</v>
      </c>
      <c r="B112" s="284">
        <v>1</v>
      </c>
      <c r="C112" s="342">
        <v>5</v>
      </c>
      <c r="D112" s="390"/>
      <c r="E112" s="391" t="str">
        <f t="shared" si="1"/>
        <v>-</v>
      </c>
      <c r="F112" s="392" t="str">
        <f t="shared" si="2"/>
        <v>-</v>
      </c>
    </row>
    <row r="113" spans="1:10" ht="27" customHeight="1" thickBot="1" x14ac:dyDescent="0.45">
      <c r="A113" s="283" t="s">
        <v>100</v>
      </c>
      <c r="B113" s="284">
        <v>1</v>
      </c>
      <c r="C113" s="346">
        <v>6</v>
      </c>
      <c r="D113" s="393"/>
      <c r="E113" s="394" t="str">
        <f t="shared" si="1"/>
        <v>-</v>
      </c>
      <c r="F113" s="395" t="str">
        <f t="shared" si="2"/>
        <v>-</v>
      </c>
    </row>
    <row r="114" spans="1:10" ht="27" customHeight="1" thickBot="1" x14ac:dyDescent="0.45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 x14ac:dyDescent="0.4">
      <c r="A115" s="283" t="s">
        <v>102</v>
      </c>
      <c r="B115" s="284">
        <v>1</v>
      </c>
      <c r="C115" s="396"/>
      <c r="D115" s="397" t="s">
        <v>71</v>
      </c>
      <c r="E115" s="398" t="e">
        <f>AVERAGE(E108:E113)</f>
        <v>#DIV/0!</v>
      </c>
      <c r="F115" s="399" t="e">
        <f>AVERAGE(F108:F113)</f>
        <v>#DIV/0!</v>
      </c>
    </row>
    <row r="116" spans="1:10" ht="27" customHeight="1" thickBot="1" x14ac:dyDescent="0.45">
      <c r="A116" s="283" t="s">
        <v>103</v>
      </c>
      <c r="B116" s="295" t="e">
        <f>(B115/B114)*(B113/B112)*(B111/B110)*(B109/B108)*B107</f>
        <v>#DIV/0!</v>
      </c>
      <c r="C116" s="400"/>
      <c r="D116" s="401" t="s">
        <v>84</v>
      </c>
      <c r="E116" s="356" t="e">
        <f>STDEV(E108:E113)/E115</f>
        <v>#DIV/0!</v>
      </c>
      <c r="F116" s="402" t="e">
        <f>STDEV(F108:F113)/F115</f>
        <v>#DIV/0!</v>
      </c>
      <c r="I116" s="255"/>
    </row>
    <row r="117" spans="1:10" ht="27" customHeight="1" thickBot="1" x14ac:dyDescent="0.45">
      <c r="A117" s="527" t="s">
        <v>78</v>
      </c>
      <c r="B117" s="528"/>
      <c r="C117" s="403"/>
      <c r="D117" s="357" t="s">
        <v>20</v>
      </c>
      <c r="E117" s="404">
        <f>COUNT(E108:E113)</f>
        <v>0</v>
      </c>
      <c r="F117" s="405">
        <f>COUNT(F108:F113)</f>
        <v>0</v>
      </c>
      <c r="I117" s="255"/>
      <c r="J117" s="383"/>
    </row>
    <row r="118" spans="1:10" ht="26.25" customHeight="1" thickBot="1" x14ac:dyDescent="0.35">
      <c r="A118" s="529"/>
      <c r="B118" s="530"/>
      <c r="C118" s="255"/>
      <c r="D118" s="406"/>
      <c r="E118" s="546" t="s">
        <v>123</v>
      </c>
      <c r="F118" s="547"/>
      <c r="G118" s="255"/>
      <c r="H118" s="255"/>
      <c r="I118" s="255"/>
    </row>
    <row r="119" spans="1:10" ht="25.5" customHeight="1" x14ac:dyDescent="0.4">
      <c r="A119" s="407"/>
      <c r="B119" s="279"/>
      <c r="C119" s="255"/>
      <c r="D119" s="401" t="s">
        <v>124</v>
      </c>
      <c r="E119" s="408">
        <f>MIN(E108:E113)</f>
        <v>0</v>
      </c>
      <c r="F119" s="409">
        <f>MIN(F108:F113)</f>
        <v>0</v>
      </c>
      <c r="G119" s="255"/>
      <c r="H119" s="255"/>
      <c r="I119" s="255"/>
    </row>
    <row r="120" spans="1:10" ht="24" customHeight="1" thickBot="1" x14ac:dyDescent="0.45">
      <c r="A120" s="407"/>
      <c r="B120" s="279"/>
      <c r="C120" s="255"/>
      <c r="D120" s="324" t="s">
        <v>125</v>
      </c>
      <c r="E120" s="410">
        <f>MAX(E108:E113)</f>
        <v>0</v>
      </c>
      <c r="F120" s="411">
        <f>MAX(F108:F113)</f>
        <v>0</v>
      </c>
      <c r="G120" s="255"/>
      <c r="H120" s="255"/>
      <c r="I120" s="255"/>
    </row>
    <row r="121" spans="1:10" ht="27" customHeight="1" x14ac:dyDescent="0.3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 x14ac:dyDescent="0.3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 x14ac:dyDescent="0.3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 x14ac:dyDescent="0.65">
      <c r="A124" s="266" t="s">
        <v>106</v>
      </c>
      <c r="B124" s="267" t="s">
        <v>126</v>
      </c>
      <c r="C124" s="522" t="str">
        <f>B26</f>
        <v>ISONIAZID</v>
      </c>
      <c r="D124" s="522"/>
      <c r="E124" s="255" t="s">
        <v>127</v>
      </c>
      <c r="F124" s="255"/>
      <c r="G124" s="412" t="e">
        <f>F115</f>
        <v>#DIV/0!</v>
      </c>
      <c r="H124" s="255"/>
      <c r="I124" s="255"/>
    </row>
    <row r="125" spans="1:10" ht="45.75" customHeight="1" x14ac:dyDescent="0.65">
      <c r="A125" s="266"/>
      <c r="B125" s="267" t="s">
        <v>128</v>
      </c>
      <c r="C125" s="267" t="s">
        <v>129</v>
      </c>
      <c r="D125" s="412">
        <f>MIN(F108:F113)</f>
        <v>0</v>
      </c>
      <c r="E125" s="267" t="s">
        <v>130</v>
      </c>
      <c r="F125" s="412">
        <f>MAX(F108:F113)</f>
        <v>0</v>
      </c>
      <c r="G125" s="413"/>
      <c r="H125" s="255"/>
      <c r="I125" s="255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542" t="s">
        <v>26</v>
      </c>
      <c r="C127" s="542"/>
      <c r="E127" s="362" t="s">
        <v>27</v>
      </c>
      <c r="F127" s="416"/>
      <c r="G127" s="542" t="s">
        <v>28</v>
      </c>
      <c r="H127" s="542"/>
    </row>
    <row r="128" spans="1:10" ht="69.95" customHeight="1" x14ac:dyDescent="0.3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 x14ac:dyDescent="0.3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 x14ac:dyDescent="0.3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 x14ac:dyDescent="0.3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 x14ac:dyDescent="0.3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 x14ac:dyDescent="0.3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 x14ac:dyDescent="0.3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 x14ac:dyDescent="0.3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 x14ac:dyDescent="0.3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 x14ac:dyDescent="0.3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 x14ac:dyDescent="0.3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 x14ac:dyDescent="0.25">
      <c r="A250" s="25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4"/>
  <sheetViews>
    <sheetView workbookViewId="0">
      <selection activeCell="E3" sqref="E3"/>
    </sheetView>
  </sheetViews>
  <sheetFormatPr defaultRowHeight="12.75" x14ac:dyDescent="0.2"/>
  <cols>
    <col min="1" max="16384" width="9.140625" style="558"/>
  </cols>
  <sheetData>
    <row r="1" spans="5:5" x14ac:dyDescent="0.2">
      <c r="E1" s="558">
        <v>6.8018999999999998</v>
      </c>
    </row>
    <row r="2" spans="5:5" x14ac:dyDescent="0.2">
      <c r="E2" s="558">
        <v>6.4605399999999999</v>
      </c>
    </row>
    <row r="3" spans="5:5" x14ac:dyDescent="0.2">
      <c r="E3" s="558">
        <f>E1-E2</f>
        <v>0.34135999999999989</v>
      </c>
    </row>
    <row r="4" spans="5:5" x14ac:dyDescent="0.2">
      <c r="E4" s="559">
        <f>E3/E1</f>
        <v>5.0185977447477895E-2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Uniformity</vt:lpstr>
      <vt:lpstr>RIF SST</vt:lpstr>
      <vt:lpstr>Rifampicin</vt:lpstr>
      <vt:lpstr>ISO SST</vt:lpstr>
      <vt:lpstr>Isoniazid</vt:lpstr>
      <vt:lpstr>Friability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2017-10-24T12:26:04Z</cp:lastPrinted>
  <dcterms:created xsi:type="dcterms:W3CDTF">2005-07-05T10:19:27Z</dcterms:created>
  <dcterms:modified xsi:type="dcterms:W3CDTF">2018-01-09T11:31:05Z</dcterms:modified>
</cp:coreProperties>
</file>