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4"/>
  </bookViews>
  <sheets>
    <sheet name="Uniformity" sheetId="2" r:id="rId1"/>
    <sheet name="RIF SST" sheetId="9" r:id="rId2"/>
    <sheet name="Rifampicin" sheetId="6" r:id="rId3"/>
    <sheet name="ISO SST" sheetId="10" r:id="rId4"/>
    <sheet name="Isoniazid" sheetId="7" r:id="rId5"/>
    <sheet name="PYR SST" sheetId="11" r:id="rId6"/>
    <sheet name="Pyrazinamide" sheetId="8" r:id="rId7"/>
    <sheet name="Friability" sheetId="12" r:id="rId8"/>
  </sheets>
  <definedNames>
    <definedName name="_xlnm.Print_Area" localSheetId="4">Isoniazid!$A$1:$H$129</definedName>
    <definedName name="_xlnm.Print_Area" localSheetId="6">Pyrazinamide!$A$1:$H$129</definedName>
    <definedName name="_xlnm.Print_Area" localSheetId="2">Rifampicin!$A$1:$H$129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F4" i="12" l="1"/>
  <c r="F3" i="12"/>
  <c r="F30" i="11"/>
  <c r="F30" i="9"/>
  <c r="D60" i="7" l="1"/>
  <c r="D68" i="7" l="1"/>
  <c r="D64" i="7"/>
  <c r="D60" i="8"/>
  <c r="D64" i="8"/>
  <c r="B21" i="11" l="1"/>
  <c r="B53" i="11"/>
  <c r="E51" i="11"/>
  <c r="D51" i="11"/>
  <c r="C51" i="11"/>
  <c r="B51" i="11"/>
  <c r="B52" i="11" s="1"/>
  <c r="B32" i="11"/>
  <c r="E30" i="11"/>
  <c r="C30" i="11"/>
  <c r="B30" i="11"/>
  <c r="B31" i="11" s="1"/>
  <c r="B21" i="9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B21" i="10"/>
  <c r="B53" i="9"/>
  <c r="E51" i="9"/>
  <c r="D51" i="9"/>
  <c r="C51" i="9"/>
  <c r="B51" i="9"/>
  <c r="B52" i="9" s="1"/>
  <c r="B32" i="9"/>
  <c r="E30" i="9"/>
  <c r="D30" i="9"/>
  <c r="C30" i="9"/>
  <c r="B30" i="9"/>
  <c r="B31" i="9" s="1"/>
  <c r="C124" i="8" l="1"/>
  <c r="B116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D100" i="8"/>
  <c r="B98" i="8"/>
  <c r="F95" i="8"/>
  <c r="D95" i="8"/>
  <c r="G94" i="8"/>
  <c r="E94" i="8"/>
  <c r="G93" i="8"/>
  <c r="E93" i="8"/>
  <c r="I92" i="8"/>
  <c r="G92" i="8"/>
  <c r="E92" i="8"/>
  <c r="G91" i="8"/>
  <c r="E91" i="8"/>
  <c r="B87" i="8"/>
  <c r="D97" i="8" s="1"/>
  <c r="B83" i="8"/>
  <c r="C76" i="8"/>
  <c r="H71" i="8"/>
  <c r="G71" i="8"/>
  <c r="B68" i="8"/>
  <c r="H67" i="8"/>
  <c r="G67" i="8"/>
  <c r="H63" i="8"/>
  <c r="G63" i="8"/>
  <c r="C56" i="8"/>
  <c r="B55" i="8"/>
  <c r="B45" i="8"/>
  <c r="D48" i="8" s="1"/>
  <c r="D44" i="8"/>
  <c r="F42" i="8"/>
  <c r="D42" i="8"/>
  <c r="G41" i="8"/>
  <c r="E41" i="8"/>
  <c r="B34" i="8"/>
  <c r="F44" i="8" s="1"/>
  <c r="B30" i="8"/>
  <c r="C124" i="7"/>
  <c r="B116" i="7"/>
  <c r="D100" i="7" s="1"/>
  <c r="D101" i="7" s="1"/>
  <c r="D102" i="7" s="1"/>
  <c r="F113" i="7"/>
  <c r="E113" i="7"/>
  <c r="F112" i="7"/>
  <c r="E112" i="7"/>
  <c r="F111" i="7"/>
  <c r="E111" i="7"/>
  <c r="F110" i="7"/>
  <c r="E110" i="7"/>
  <c r="F109" i="7"/>
  <c r="E109" i="7"/>
  <c r="F108" i="7"/>
  <c r="F125" i="7" s="1"/>
  <c r="E108" i="7"/>
  <c r="E120" i="7" s="1"/>
  <c r="B98" i="7"/>
  <c r="F95" i="7"/>
  <c r="D95" i="7"/>
  <c r="I92" i="7" s="1"/>
  <c r="G94" i="7"/>
  <c r="E94" i="7"/>
  <c r="G93" i="7"/>
  <c r="E93" i="7"/>
  <c r="G92" i="7"/>
  <c r="E92" i="7"/>
  <c r="G91" i="7"/>
  <c r="E91" i="7"/>
  <c r="B87" i="7"/>
  <c r="F97" i="7" s="1"/>
  <c r="B83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D42" i="7"/>
  <c r="G41" i="7"/>
  <c r="E41" i="7"/>
  <c r="B34" i="7"/>
  <c r="F44" i="7" s="1"/>
  <c r="B30" i="7"/>
  <c r="C124" i="6"/>
  <c r="B116" i="6"/>
  <c r="F113" i="6"/>
  <c r="E113" i="6"/>
  <c r="F112" i="6"/>
  <c r="E112" i="6"/>
  <c r="F111" i="6"/>
  <c r="E111" i="6"/>
  <c r="F110" i="6"/>
  <c r="E110" i="6"/>
  <c r="F109" i="6"/>
  <c r="E109" i="6"/>
  <c r="F108" i="6"/>
  <c r="D125" i="6" s="1"/>
  <c r="E108" i="6"/>
  <c r="D100" i="6"/>
  <c r="B98" i="6"/>
  <c r="F97" i="6"/>
  <c r="F95" i="6"/>
  <c r="D95" i="6"/>
  <c r="G94" i="6"/>
  <c r="E94" i="6"/>
  <c r="G93" i="6"/>
  <c r="E93" i="6"/>
  <c r="I92" i="6"/>
  <c r="G92" i="6"/>
  <c r="E92" i="6"/>
  <c r="G91" i="6"/>
  <c r="G95" i="6" s="1"/>
  <c r="E91" i="6"/>
  <c r="B87" i="6"/>
  <c r="D97" i="6" s="1"/>
  <c r="B83" i="6"/>
  <c r="C76" i="6"/>
  <c r="H71" i="6"/>
  <c r="G71" i="6"/>
  <c r="B68" i="6"/>
  <c r="H67" i="6"/>
  <c r="G67" i="6"/>
  <c r="H63" i="6"/>
  <c r="G63" i="6"/>
  <c r="G62" i="6"/>
  <c r="H62" i="6" s="1"/>
  <c r="G61" i="6"/>
  <c r="H61" i="6" s="1"/>
  <c r="C56" i="6"/>
  <c r="B55" i="6"/>
  <c r="B45" i="6"/>
  <c r="D48" i="6" s="1"/>
  <c r="D49" i="6" s="1"/>
  <c r="F44" i="6"/>
  <c r="F45" i="6" s="1"/>
  <c r="F42" i="6"/>
  <c r="D42" i="6"/>
  <c r="G41" i="6"/>
  <c r="E41" i="6"/>
  <c r="B34" i="6"/>
  <c r="D44" i="6" s="1"/>
  <c r="B30" i="6"/>
  <c r="D98" i="6" l="1"/>
  <c r="D99" i="6" s="1"/>
  <c r="E115" i="6"/>
  <c r="E116" i="6" s="1"/>
  <c r="F45" i="7"/>
  <c r="F46" i="7" s="1"/>
  <c r="D103" i="7"/>
  <c r="D104" i="7" s="1"/>
  <c r="D98" i="8"/>
  <c r="D99" i="8" s="1"/>
  <c r="F97" i="8"/>
  <c r="F98" i="8" s="1"/>
  <c r="F99" i="8" s="1"/>
  <c r="D105" i="6"/>
  <c r="F98" i="6"/>
  <c r="F99" i="6" s="1"/>
  <c r="F119" i="6"/>
  <c r="D101" i="8"/>
  <c r="D102" i="8" s="1"/>
  <c r="E95" i="6"/>
  <c r="D101" i="6"/>
  <c r="D102" i="6" s="1"/>
  <c r="F125" i="6"/>
  <c r="F98" i="7"/>
  <c r="F99" i="7" s="1"/>
  <c r="G95" i="7"/>
  <c r="I39" i="8"/>
  <c r="I39" i="6"/>
  <c r="D103" i="8"/>
  <c r="D104" i="8" s="1"/>
  <c r="E120" i="8"/>
  <c r="G95" i="8"/>
  <c r="F125" i="8"/>
  <c r="F119" i="8"/>
  <c r="E95" i="8"/>
  <c r="F45" i="8"/>
  <c r="F46" i="8" s="1"/>
  <c r="D45" i="8"/>
  <c r="D46" i="8" s="1"/>
  <c r="F46" i="6"/>
  <c r="I39" i="7"/>
  <c r="D45" i="6"/>
  <c r="D46" i="6" s="1"/>
  <c r="G40" i="8"/>
  <c r="E39" i="8"/>
  <c r="D49" i="8"/>
  <c r="E38" i="8"/>
  <c r="G39" i="8"/>
  <c r="E40" i="8"/>
  <c r="D105" i="8"/>
  <c r="E119" i="8"/>
  <c r="E115" i="8"/>
  <c r="E116" i="8" s="1"/>
  <c r="F115" i="8"/>
  <c r="E117" i="8"/>
  <c r="D125" i="8"/>
  <c r="F117" i="8"/>
  <c r="F120" i="8"/>
  <c r="G39" i="7"/>
  <c r="G40" i="7"/>
  <c r="D49" i="7"/>
  <c r="G38" i="7"/>
  <c r="E39" i="6"/>
  <c r="E38" i="6"/>
  <c r="G40" i="6"/>
  <c r="G39" i="6"/>
  <c r="D103" i="6"/>
  <c r="D104" i="6" s="1"/>
  <c r="F115" i="6"/>
  <c r="E117" i="6"/>
  <c r="E120" i="6"/>
  <c r="D97" i="7"/>
  <c r="D98" i="7" s="1"/>
  <c r="D99" i="7" s="1"/>
  <c r="D105" i="7"/>
  <c r="E119" i="7"/>
  <c r="F117" i="6"/>
  <c r="F120" i="6"/>
  <c r="D44" i="7"/>
  <c r="D45" i="7" s="1"/>
  <c r="D46" i="7" s="1"/>
  <c r="E95" i="7"/>
  <c r="E115" i="7"/>
  <c r="E116" i="7" s="1"/>
  <c r="F119" i="7"/>
  <c r="G38" i="6"/>
  <c r="E40" i="6"/>
  <c r="E119" i="6"/>
  <c r="F115" i="7"/>
  <c r="E117" i="7"/>
  <c r="D125" i="7"/>
  <c r="F117" i="7"/>
  <c r="F120" i="7"/>
  <c r="E40" i="7" l="1"/>
  <c r="G38" i="8"/>
  <c r="D50" i="8" s="1"/>
  <c r="G42" i="8"/>
  <c r="G124" i="8"/>
  <c r="F116" i="8"/>
  <c r="E42" i="8"/>
  <c r="D52" i="8"/>
  <c r="D52" i="6"/>
  <c r="D50" i="6"/>
  <c r="G60" i="6" s="1"/>
  <c r="H60" i="6" s="1"/>
  <c r="E42" i="6"/>
  <c r="G42" i="7"/>
  <c r="G42" i="6"/>
  <c r="G124" i="6"/>
  <c r="F116" i="6"/>
  <c r="G124" i="7"/>
  <c r="F116" i="7"/>
  <c r="E38" i="7"/>
  <c r="E39" i="7"/>
  <c r="D51" i="8" l="1"/>
  <c r="D50" i="7"/>
  <c r="E42" i="7"/>
  <c r="D52" i="7"/>
  <c r="D51" i="6"/>
  <c r="G69" i="7" l="1"/>
  <c r="H69" i="7" s="1"/>
  <c r="D51" i="7"/>
  <c r="G70" i="7"/>
  <c r="H70" i="7" s="1"/>
  <c r="G68" i="7"/>
  <c r="H68" i="7" s="1"/>
  <c r="D49" i="2" l="1"/>
  <c r="C46" i="2"/>
  <c r="C45" i="2"/>
  <c r="D40" i="2"/>
  <c r="D36" i="2"/>
  <c r="D33" i="2"/>
  <c r="D32" i="2"/>
  <c r="D29" i="2"/>
  <c r="D28" i="2"/>
  <c r="D25" i="2"/>
  <c r="D24" i="2"/>
  <c r="C19" i="2"/>
  <c r="B57" i="8" l="1"/>
  <c r="B57" i="7"/>
  <c r="B57" i="6"/>
  <c r="D26" i="2"/>
  <c r="D30" i="2"/>
  <c r="D34" i="2"/>
  <c r="D38" i="2"/>
  <c r="D42" i="2"/>
  <c r="B49" i="2"/>
  <c r="D37" i="2"/>
  <c r="D41" i="2"/>
  <c r="D27" i="2"/>
  <c r="D31" i="2"/>
  <c r="D35" i="2"/>
  <c r="D39" i="2"/>
  <c r="D43" i="2"/>
  <c r="C49" i="2"/>
  <c r="C50" i="2"/>
  <c r="D50" i="2"/>
  <c r="B69" i="8" l="1"/>
  <c r="G64" i="8"/>
  <c r="H64" i="8" s="1"/>
  <c r="G70" i="8"/>
  <c r="H70" i="8" s="1"/>
  <c r="G65" i="8"/>
  <c r="H65" i="8" s="1"/>
  <c r="G68" i="8"/>
  <c r="H68" i="8" s="1"/>
  <c r="G66" i="8"/>
  <c r="H66" i="8" s="1"/>
  <c r="G69" i="8"/>
  <c r="H69" i="8" s="1"/>
  <c r="B69" i="6"/>
  <c r="G69" i="6"/>
  <c r="H69" i="6" s="1"/>
  <c r="G65" i="6"/>
  <c r="H65" i="6" s="1"/>
  <c r="G70" i="6"/>
  <c r="H70" i="6" s="1"/>
  <c r="G66" i="6"/>
  <c r="H66" i="6" s="1"/>
  <c r="G64" i="6"/>
  <c r="G68" i="6"/>
  <c r="H68" i="6" s="1"/>
  <c r="B69" i="7"/>
  <c r="G64" i="7"/>
  <c r="H64" i="7" s="1"/>
  <c r="G61" i="7"/>
  <c r="H61" i="7" s="1"/>
  <c r="G60" i="7"/>
  <c r="G66" i="7"/>
  <c r="H66" i="7" s="1"/>
  <c r="G65" i="7"/>
  <c r="H65" i="7" s="1"/>
  <c r="G62" i="7"/>
  <c r="H62" i="7" s="1"/>
  <c r="G61" i="8"/>
  <c r="H61" i="8" s="1"/>
  <c r="G62" i="8"/>
  <c r="H62" i="8" s="1"/>
  <c r="G60" i="8"/>
  <c r="H60" i="8" s="1"/>
  <c r="G72" i="6" l="1"/>
  <c r="G73" i="6" s="1"/>
  <c r="H64" i="6"/>
  <c r="G74" i="6"/>
  <c r="H60" i="7"/>
  <c r="G74" i="7"/>
  <c r="G72" i="7"/>
  <c r="G73" i="7" s="1"/>
  <c r="H74" i="8"/>
  <c r="H72" i="8"/>
  <c r="G76" i="8" s="1"/>
  <c r="G74" i="8"/>
  <c r="G72" i="8"/>
  <c r="G73" i="8" s="1"/>
  <c r="H74" i="7" l="1"/>
  <c r="H72" i="7"/>
  <c r="H72" i="6"/>
  <c r="H74" i="6"/>
  <c r="H73" i="8"/>
  <c r="G76" i="6" l="1"/>
  <c r="H73" i="6"/>
  <c r="H73" i="7"/>
  <c r="G76" i="7"/>
</calcChain>
</file>

<file path=xl/sharedStrings.xml><?xml version="1.0" encoding="utf-8"?>
<sst xmlns="http://schemas.openxmlformats.org/spreadsheetml/2006/main" count="669" uniqueCount="148">
  <si>
    <t>Analysis Data</t>
  </si>
  <si>
    <t>Reference Substance:</t>
  </si>
  <si>
    <t>RIFAMPICIN 75 mg, ISONIAZID 50 mg &amp; PYRAZINAMIDE 150 mg DISPERSIBLE TABLETS</t>
  </si>
  <si>
    <t>% age Purity:</t>
  </si>
  <si>
    <t>NDQB201709215</t>
  </si>
  <si>
    <t>Rifampicin, Isoniazid &amp; Pyrazinamide</t>
  </si>
  <si>
    <t>Each dispersible tablet contains Rifampicin 75 mg, Isoniazid BP 50 mg and Pyrazinamide 150 mg.</t>
  </si>
  <si>
    <t>2017-09-27 14:51:32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</si>
  <si>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</si>
  <si>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</si>
  <si>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</si>
  <si>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</si>
  <si>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</si>
  <si>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</si>
  <si>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</si>
  <si>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</si>
  <si>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</si>
  <si>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</si>
  <si>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</si>
  <si>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</si>
  <si>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</si>
  <si>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</si>
  <si>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</si>
  <si>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</si>
  <si>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</si>
  <si>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</si>
  <si>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</si>
  <si>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</si>
  <si>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</si>
  <si>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</si>
  <si>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</si>
  <si>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</si>
  <si>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</si>
  <si>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</si>
  <si>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</si>
  <si>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</si>
  <si>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</si>
  <si>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</si>
  <si>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</si>
  <si>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</si>
  <si>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</si>
  <si>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</si>
  <si>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</si>
  <si>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</si>
  <si>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</si>
  <si>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</si>
  <si>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</si>
  <si>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</si>
  <si>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</si>
  <si>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</si>
  <si>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</si>
  <si>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</si>
  <si>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</si>
  <si>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</si>
  <si>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</si>
  <si>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</si>
  <si>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</si>
  <si>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</si>
  <si>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</si>
  <si>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</si>
  <si>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</si>
  <si>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</si>
  <si>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</si>
  <si>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</si>
  <si>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</si>
  <si>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</si>
  <si>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</si>
  <si>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</si>
  <si>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</si>
  <si>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</si>
  <si>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</si>
  <si>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</si>
  <si>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</si>
  <si>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</si>
  <si>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</si>
  <si>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</si>
  <si>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</si>
  <si>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</si>
  <si>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</si>
  <si>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</si>
  <si>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</si>
  <si>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</si>
  <si>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</si>
  <si>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</si>
  <si>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</si>
  <si>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</si>
  <si>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</si>
  <si>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</si>
  <si>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</si>
  <si>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</si>
  <si>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</si>
  <si>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</si>
  <si>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</si>
  <si>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</si>
  <si>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</si>
  <si>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</si>
  <si>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</si>
  <si>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</si>
  <si>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</si>
  <si>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</si>
  <si>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</si>
  <si>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</si>
  <si>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</si>
  <si>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</si>
  <si>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</si>
  <si>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</si>
  <si>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</si>
  <si>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</si>
  <si>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</si>
  <si>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</si>
  <si>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</si>
  <si>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</si>
  <si>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</si>
  <si>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</si>
  <si>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 75 mg &amp; ISONIAZID 50 mg DISPERSIBLE TABLETS</t>
  </si>
  <si>
    <t>NDQB201709212</t>
  </si>
  <si>
    <t xml:space="preserve">RIFAMPICIN 75 mg </t>
  </si>
  <si>
    <t>Each  dispersible tablet contains: Rifampicin BP 75 mg and Isoniazid BP 50 mg.</t>
  </si>
  <si>
    <t>2017-09-27 14:25:23</t>
  </si>
  <si>
    <t>RIFAMPICIN</t>
  </si>
  <si>
    <t>R4-1</t>
  </si>
  <si>
    <t>, Isoniazid</t>
  </si>
  <si>
    <t>ISONIAZID</t>
  </si>
  <si>
    <t>I8-4</t>
  </si>
  <si>
    <t>PYRAZINAMIDE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</si>
  <si>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</si>
  <si>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</si>
  <si>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</si>
  <si>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</si>
  <si>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</si>
  <si>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</si>
  <si>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</si>
  <si>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</si>
  <si>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</si>
  <si>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</si>
  <si>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</si>
  <si>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</si>
  <si>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</si>
  <si>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</si>
  <si>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50000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</si>
  <si>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</si>
  <si>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</si>
  <si>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</si>
  <si>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6000</t>
    </r>
  </si>
  <si>
    <t>The Resolution Between isoniazid and Pyrazinamide nlt 4.0</t>
  </si>
  <si>
    <t>Resolution</t>
  </si>
  <si>
    <t>Pyrazinamide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</si>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</sst>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  <family val="1"/>
    </font>
    <font>
      <sz val="10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9" fontId="30" fillId="0" borderId="0" applyFont="0" applyFill="0" applyBorder="0" applyAlignment="0" applyProtection="0"/>
  </cellStyleXfs>
  <cellXfs count="57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 applyAlignment="1">
      <alignment horizontal="center"/>
    </xf>
    <xf numFmtId="10" fontId="6" fillId="2" borderId="3" xfId="0" applyNumberFormat="1" applyFont="1" applyFill="1" applyBorder="1"/>
    <xf numFmtId="0" fontId="8" fillId="2" borderId="0" xfId="0" applyFont="1" applyFill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6" fillId="2" borderId="5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6" fontId="6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6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Protection="1">
      <protection locked="0"/>
    </xf>
    <xf numFmtId="2" fontId="6" fillId="3" borderId="9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0" fillId="2" borderId="0" xfId="1" applyFont="1" applyFill="1"/>
    <xf numFmtId="0" fontId="24" fillId="2" borderId="0" xfId="1" applyFill="1"/>
    <xf numFmtId="0" fontId="11" fillId="2" borderId="0" xfId="1" applyFont="1" applyFill="1"/>
    <xf numFmtId="0" fontId="12" fillId="2" borderId="0" xfId="1" applyFont="1" applyFill="1" applyAlignment="1" applyProtection="1">
      <alignment horizontal="right"/>
      <protection locked="0"/>
    </xf>
    <xf numFmtId="0" fontId="12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168" fontId="13" fillId="3" borderId="0" xfId="1" applyNumberFormat="1" applyFont="1" applyFill="1" applyAlignment="1" applyProtection="1">
      <alignment horizontal="center"/>
      <protection locked="0"/>
    </xf>
    <xf numFmtId="169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2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4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2" fontId="12" fillId="3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vertical="center" wrapText="1"/>
    </xf>
    <xf numFmtId="0" fontId="17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70" fontId="11" fillId="2" borderId="0" xfId="1" applyNumberFormat="1" applyFont="1" applyFill="1" applyAlignment="1">
      <alignment horizontal="center"/>
    </xf>
    <xf numFmtId="0" fontId="10" fillId="2" borderId="15" xfId="1" applyFont="1" applyFill="1" applyBorder="1" applyAlignment="1">
      <alignment horizontal="right"/>
    </xf>
    <xf numFmtId="0" fontId="12" fillId="3" borderId="16" xfId="1" applyFont="1" applyFill="1" applyBorder="1" applyAlignment="1" applyProtection="1">
      <alignment horizontal="center"/>
      <protection locked="0"/>
    </xf>
    <xf numFmtId="0" fontId="10" fillId="2" borderId="17" xfId="1" applyFont="1" applyFill="1" applyBorder="1" applyAlignment="1">
      <alignment horizontal="right"/>
    </xf>
    <xf numFmtId="0" fontId="12" fillId="3" borderId="18" xfId="1" applyFont="1" applyFill="1" applyBorder="1" applyAlignment="1" applyProtection="1">
      <alignment horizontal="center"/>
      <protection locked="0"/>
    </xf>
    <xf numFmtId="0" fontId="11" fillId="2" borderId="16" xfId="1" applyFont="1" applyFill="1" applyBorder="1" applyAlignment="1">
      <alignment horizontal="center"/>
    </xf>
    <xf numFmtId="0" fontId="11" fillId="2" borderId="19" xfId="1" applyFont="1" applyFill="1" applyBorder="1" applyAlignment="1">
      <alignment horizontal="center"/>
    </xf>
    <xf numFmtId="0" fontId="11" fillId="2" borderId="20" xfId="1" applyFont="1" applyFill="1" applyBorder="1" applyAlignment="1">
      <alignment horizontal="center"/>
    </xf>
    <xf numFmtId="0" fontId="11" fillId="2" borderId="21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center"/>
    </xf>
    <xf numFmtId="0" fontId="10" fillId="2" borderId="22" xfId="1" applyFont="1" applyFill="1" applyBorder="1" applyAlignment="1">
      <alignment horizontal="center"/>
    </xf>
    <xf numFmtId="0" fontId="12" fillId="3" borderId="23" xfId="1" applyFont="1" applyFill="1" applyBorder="1" applyAlignment="1" applyProtection="1">
      <alignment horizontal="center"/>
      <protection locked="0"/>
    </xf>
    <xf numFmtId="171" fontId="10" fillId="2" borderId="20" xfId="1" applyNumberFormat="1" applyFont="1" applyFill="1" applyBorder="1" applyAlignment="1">
      <alignment horizontal="center"/>
    </xf>
    <xf numFmtId="171" fontId="10" fillId="2" borderId="24" xfId="1" applyNumberFormat="1" applyFont="1" applyFill="1" applyBorder="1" applyAlignment="1">
      <alignment horizontal="center"/>
    </xf>
    <xf numFmtId="0" fontId="17" fillId="2" borderId="7" xfId="1" applyFont="1" applyFill="1" applyBorder="1"/>
    <xf numFmtId="0" fontId="10" fillId="2" borderId="18" xfId="1" applyFont="1" applyFill="1" applyBorder="1" applyAlignment="1">
      <alignment horizontal="center"/>
    </xf>
    <xf numFmtId="0" fontId="12" fillId="3" borderId="17" xfId="1" applyFont="1" applyFill="1" applyBorder="1" applyAlignment="1" applyProtection="1">
      <alignment horizontal="center"/>
      <protection locked="0"/>
    </xf>
    <xf numFmtId="171" fontId="10" fillId="2" borderId="25" xfId="1" applyNumberFormat="1" applyFont="1" applyFill="1" applyBorder="1" applyAlignment="1">
      <alignment horizontal="center"/>
    </xf>
    <xf numFmtId="171" fontId="10" fillId="2" borderId="26" xfId="1" applyNumberFormat="1" applyFont="1" applyFill="1" applyBorder="1" applyAlignment="1">
      <alignment horizontal="center"/>
    </xf>
    <xf numFmtId="0" fontId="10" fillId="2" borderId="27" xfId="1" applyFont="1" applyFill="1" applyBorder="1" applyAlignment="1">
      <alignment horizontal="center"/>
    </xf>
    <xf numFmtId="0" fontId="12" fillId="3" borderId="28" xfId="1" applyFont="1" applyFill="1" applyBorder="1" applyAlignment="1" applyProtection="1">
      <alignment horizontal="center"/>
      <protection locked="0"/>
    </xf>
    <xf numFmtId="171" fontId="10" fillId="2" borderId="29" xfId="1" applyNumberFormat="1" applyFont="1" applyFill="1" applyBorder="1" applyAlignment="1">
      <alignment horizontal="center"/>
    </xf>
    <xf numFmtId="171" fontId="10" fillId="2" borderId="30" xfId="1" applyNumberFormat="1" applyFont="1" applyFill="1" applyBorder="1" applyAlignment="1">
      <alignment horizontal="center"/>
    </xf>
    <xf numFmtId="0" fontId="10" fillId="2" borderId="9" xfId="1" applyFont="1" applyFill="1" applyBorder="1"/>
    <xf numFmtId="0" fontId="10" fillId="2" borderId="18" xfId="1" applyFont="1" applyFill="1" applyBorder="1" applyAlignment="1">
      <alignment horizontal="right"/>
    </xf>
    <xf numFmtId="1" fontId="11" fillId="4" borderId="31" xfId="1" applyNumberFormat="1" applyFont="1" applyFill="1" applyBorder="1" applyAlignment="1">
      <alignment horizontal="center"/>
    </xf>
    <xf numFmtId="171" fontId="11" fillId="4" borderId="32" xfId="1" applyNumberFormat="1" applyFont="1" applyFill="1" applyBorder="1" applyAlignment="1">
      <alignment horizontal="center"/>
    </xf>
    <xf numFmtId="171" fontId="11" fillId="4" borderId="33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34" xfId="1" applyFont="1" applyFill="1" applyBorder="1" applyAlignment="1">
      <alignment horizontal="right"/>
    </xf>
    <xf numFmtId="0" fontId="12" fillId="3" borderId="10" xfId="1" applyFont="1" applyFill="1" applyBorder="1" applyAlignment="1" applyProtection="1">
      <alignment horizontal="center"/>
      <protection locked="0"/>
    </xf>
    <xf numFmtId="0" fontId="10" fillId="2" borderId="5" xfId="1" applyFont="1" applyFill="1" applyBorder="1" applyAlignment="1">
      <alignment horizontal="right"/>
    </xf>
    <xf numFmtId="2" fontId="10" fillId="4" borderId="35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5" borderId="35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166" fontId="10" fillId="4" borderId="35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4" borderId="11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right"/>
    </xf>
    <xf numFmtId="166" fontId="12" fillId="3" borderId="35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23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9" xfId="1" applyFont="1" applyFill="1" applyBorder="1" applyAlignment="1">
      <alignment horizontal="right"/>
    </xf>
    <xf numFmtId="2" fontId="10" fillId="4" borderId="9" xfId="1" applyNumberFormat="1" applyFont="1" applyFill="1" applyBorder="1" applyAlignment="1">
      <alignment horizontal="center"/>
    </xf>
    <xf numFmtId="171" fontId="11" fillId="5" borderId="7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4" borderId="35" xfId="1" applyNumberFormat="1" applyFont="1" applyFill="1" applyBorder="1" applyAlignment="1">
      <alignment horizontal="center"/>
    </xf>
    <xf numFmtId="0" fontId="10" fillId="2" borderId="37" xfId="1" applyFont="1" applyFill="1" applyBorder="1" applyAlignment="1">
      <alignment horizontal="right"/>
    </xf>
    <xf numFmtId="0" fontId="10" fillId="5" borderId="9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2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7" xfId="1" applyNumberFormat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0" fontId="12" fillId="3" borderId="15" xfId="1" applyFont="1" applyFill="1" applyBorder="1" applyAlignment="1" applyProtection="1">
      <alignment horizontal="center"/>
      <protection locked="0"/>
    </xf>
    <xf numFmtId="166" fontId="10" fillId="2" borderId="15" xfId="1" applyNumberFormat="1" applyFont="1" applyFill="1" applyBorder="1" applyAlignment="1">
      <alignment horizontal="center"/>
    </xf>
    <xf numFmtId="173" fontId="10" fillId="2" borderId="7" xfId="1" applyNumberFormat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/>
    </xf>
    <xf numFmtId="166" fontId="10" fillId="2" borderId="17" xfId="1" applyNumberFormat="1" applyFont="1" applyFill="1" applyBorder="1" applyAlignment="1">
      <alignment horizontal="center"/>
    </xf>
    <xf numFmtId="173" fontId="10" fillId="2" borderId="8" xfId="1" applyNumberFormat="1" applyFont="1" applyFill="1" applyBorder="1" applyAlignment="1">
      <alignment horizontal="center" vertical="center"/>
    </xf>
    <xf numFmtId="1" fontId="12" fillId="3" borderId="17" xfId="1" applyNumberFormat="1" applyFont="1" applyFill="1" applyBorder="1" applyAlignment="1" applyProtection="1">
      <alignment horizontal="center"/>
      <protection locked="0"/>
    </xf>
    <xf numFmtId="0" fontId="10" fillId="2" borderId="9" xfId="1" applyFont="1" applyFill="1" applyBorder="1" applyAlignment="1">
      <alignment horizontal="center"/>
    </xf>
    <xf numFmtId="0" fontId="12" fillId="3" borderId="37" xfId="1" applyFont="1" applyFill="1" applyBorder="1" applyAlignment="1" applyProtection="1">
      <alignment horizontal="center"/>
      <protection locked="0"/>
    </xf>
    <xf numFmtId="166" fontId="10" fillId="2" borderId="37" xfId="1" applyNumberFormat="1" applyFont="1" applyFill="1" applyBorder="1" applyAlignment="1">
      <alignment horizontal="center"/>
    </xf>
    <xf numFmtId="173" fontId="10" fillId="2" borderId="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2" fontId="13" fillId="2" borderId="38" xfId="1" applyNumberFormat="1" applyFont="1" applyFill="1" applyBorder="1" applyAlignment="1">
      <alignment horizontal="center"/>
    </xf>
    <xf numFmtId="0" fontId="10" fillId="2" borderId="39" xfId="1" applyFont="1" applyFill="1" applyBorder="1" applyAlignment="1">
      <alignment horizontal="right"/>
    </xf>
    <xf numFmtId="2" fontId="12" fillId="5" borderId="27" xfId="1" applyNumberFormat="1" applyFont="1" applyFill="1" applyBorder="1" applyAlignment="1">
      <alignment horizontal="center"/>
    </xf>
    <xf numFmtId="173" fontId="12" fillId="5" borderId="27" xfId="1" applyNumberFormat="1" applyFont="1" applyFill="1" applyBorder="1" applyAlignment="1">
      <alignment horizontal="center"/>
    </xf>
    <xf numFmtId="0" fontId="10" fillId="2" borderId="35" xfId="1" applyFont="1" applyFill="1" applyBorder="1" applyAlignment="1">
      <alignment horizontal="right"/>
    </xf>
    <xf numFmtId="10" fontId="12" fillId="4" borderId="48" xfId="1" applyNumberFormat="1" applyFont="1" applyFill="1" applyBorder="1" applyAlignment="1">
      <alignment horizontal="center"/>
    </xf>
    <xf numFmtId="0" fontId="10" fillId="2" borderId="11" xfId="1" applyFont="1" applyFill="1" applyBorder="1" applyAlignment="1">
      <alignment horizontal="right"/>
    </xf>
    <xf numFmtId="0" fontId="12" fillId="5" borderId="40" xfId="1" applyFont="1" applyFill="1" applyBorder="1" applyAlignment="1">
      <alignment horizontal="center"/>
    </xf>
    <xf numFmtId="174" fontId="12" fillId="2" borderId="0" xfId="1" applyNumberFormat="1" applyFont="1" applyFill="1" applyAlignment="1">
      <alignment horizontal="center"/>
    </xf>
    <xf numFmtId="0" fontId="11" fillId="2" borderId="41" xfId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0" fillId="2" borderId="42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/>
    </xf>
    <xf numFmtId="171" fontId="12" fillId="3" borderId="28" xfId="1" applyNumberFormat="1" applyFont="1" applyFill="1" applyBorder="1" applyAlignment="1" applyProtection="1">
      <alignment horizontal="center"/>
      <protection locked="0"/>
    </xf>
    <xf numFmtId="1" fontId="11" fillId="4" borderId="43" xfId="1" applyNumberFormat="1" applyFont="1" applyFill="1" applyBorder="1" applyAlignment="1">
      <alignment horizontal="center"/>
    </xf>
    <xf numFmtId="1" fontId="11" fillId="4" borderId="44" xfId="1" applyNumberFormat="1" applyFont="1" applyFill="1" applyBorder="1" applyAlignment="1">
      <alignment horizontal="center"/>
    </xf>
    <xf numFmtId="171" fontId="11" fillId="4" borderId="9" xfId="1" applyNumberFormat="1" applyFont="1" applyFill="1" applyBorder="1" applyAlignment="1">
      <alignment horizontal="center"/>
    </xf>
    <xf numFmtId="0" fontId="10" fillId="2" borderId="45" xfId="1" applyFont="1" applyFill="1" applyBorder="1" applyAlignment="1">
      <alignment horizontal="right"/>
    </xf>
    <xf numFmtId="0" fontId="12" fillId="3" borderId="46" xfId="1" applyFont="1" applyFill="1" applyBorder="1" applyAlignment="1" applyProtection="1">
      <alignment horizontal="center"/>
      <protection locked="0"/>
    </xf>
    <xf numFmtId="0" fontId="10" fillId="2" borderId="19" xfId="1" applyFont="1" applyFill="1" applyBorder="1" applyAlignment="1">
      <alignment horizontal="right"/>
    </xf>
    <xf numFmtId="2" fontId="10" fillId="4" borderId="21" xfId="1" applyNumberFormat="1" applyFont="1" applyFill="1" applyBorder="1" applyAlignment="1">
      <alignment horizontal="center"/>
    </xf>
    <xf numFmtId="2" fontId="10" fillId="5" borderId="21" xfId="1" applyNumberFormat="1" applyFont="1" applyFill="1" applyBorder="1" applyAlignment="1">
      <alignment horizontal="center"/>
    </xf>
    <xf numFmtId="166" fontId="10" fillId="4" borderId="21" xfId="1" applyNumberFormat="1" applyFont="1" applyFill="1" applyBorder="1" applyAlignment="1">
      <alignment horizontal="center"/>
    </xf>
    <xf numFmtId="166" fontId="10" fillId="5" borderId="21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47" xfId="1" applyFont="1" applyFill="1" applyBorder="1" applyAlignment="1">
      <alignment horizontal="right"/>
    </xf>
    <xf numFmtId="2" fontId="10" fillId="5" borderId="24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0" xfId="1" applyFont="1" applyFill="1" applyBorder="1" applyAlignment="1">
      <alignment horizontal="right"/>
    </xf>
    <xf numFmtId="171" fontId="11" fillId="5" borderId="10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4" borderId="35" xfId="1" applyNumberFormat="1" applyFont="1" applyFill="1" applyBorder="1" applyAlignment="1">
      <alignment horizontal="center"/>
    </xf>
    <xf numFmtId="0" fontId="11" fillId="5" borderId="11" xfId="1" applyFont="1" applyFill="1" applyBorder="1" applyAlignment="1">
      <alignment horizontal="center"/>
    </xf>
    <xf numFmtId="0" fontId="11" fillId="2" borderId="16" xfId="1" applyFont="1" applyFill="1" applyBorder="1" applyAlignment="1">
      <alignment horizontal="center" wrapText="1"/>
    </xf>
    <xf numFmtId="1" fontId="12" fillId="3" borderId="7" xfId="1" applyNumberFormat="1" applyFont="1" applyFill="1" applyBorder="1" applyAlignment="1" applyProtection="1">
      <alignment horizontal="center"/>
      <protection locked="0"/>
    </xf>
    <xf numFmtId="166" fontId="10" fillId="2" borderId="7" xfId="1" applyNumberFormat="1" applyFont="1" applyFill="1" applyBorder="1" applyAlignment="1">
      <alignment horizontal="center"/>
    </xf>
    <xf numFmtId="173" fontId="10" fillId="2" borderId="16" xfId="1" applyNumberFormat="1" applyFont="1" applyFill="1" applyBorder="1" applyAlignment="1">
      <alignment horizontal="center"/>
    </xf>
    <xf numFmtId="1" fontId="12" fillId="3" borderId="8" xfId="1" applyNumberFormat="1" applyFont="1" applyFill="1" applyBorder="1" applyAlignment="1" applyProtection="1">
      <alignment horizontal="center"/>
      <protection locked="0"/>
    </xf>
    <xf numFmtId="166" fontId="10" fillId="2" borderId="8" xfId="1" applyNumberFormat="1" applyFont="1" applyFill="1" applyBorder="1" applyAlignment="1">
      <alignment horizontal="center"/>
    </xf>
    <xf numFmtId="173" fontId="10" fillId="2" borderId="18" xfId="1" applyNumberFormat="1" applyFont="1" applyFill="1" applyBorder="1" applyAlignment="1">
      <alignment horizontal="center"/>
    </xf>
    <xf numFmtId="1" fontId="12" fillId="3" borderId="9" xfId="1" applyNumberFormat="1" applyFont="1" applyFill="1" applyBorder="1" applyAlignment="1" applyProtection="1">
      <alignment horizontal="center"/>
      <protection locked="0"/>
    </xf>
    <xf numFmtId="166" fontId="10" fillId="2" borderId="9" xfId="1" applyNumberFormat="1" applyFont="1" applyFill="1" applyBorder="1" applyAlignment="1">
      <alignment horizontal="center"/>
    </xf>
    <xf numFmtId="173" fontId="10" fillId="2" borderId="38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center"/>
    </xf>
    <xf numFmtId="171" fontId="10" fillId="2" borderId="10" xfId="1" applyNumberFormat="1" applyFont="1" applyFill="1" applyBorder="1" applyAlignment="1">
      <alignment horizontal="right"/>
    </xf>
    <xf numFmtId="2" fontId="12" fillId="5" borderId="49" xfId="1" applyNumberFormat="1" applyFont="1" applyFill="1" applyBorder="1" applyAlignment="1">
      <alignment horizontal="center"/>
    </xf>
    <xf numFmtId="174" fontId="12" fillId="5" borderId="46" xfId="1" applyNumberFormat="1" applyFont="1" applyFill="1" applyBorder="1" applyAlignment="1">
      <alignment horizontal="center"/>
    </xf>
    <xf numFmtId="0" fontId="10" fillId="2" borderId="17" xfId="1" applyFont="1" applyFill="1" applyBorder="1"/>
    <xf numFmtId="0" fontId="10" fillId="2" borderId="8" xfId="1" applyFont="1" applyFill="1" applyBorder="1" applyAlignment="1">
      <alignment horizontal="right"/>
    </xf>
    <xf numFmtId="10" fontId="12" fillId="4" borderId="21" xfId="1" applyNumberFormat="1" applyFont="1" applyFill="1" applyBorder="1" applyAlignment="1">
      <alignment horizontal="center"/>
    </xf>
    <xf numFmtId="0" fontId="10" fillId="2" borderId="37" xfId="1" applyFont="1" applyFill="1" applyBorder="1"/>
    <xf numFmtId="0" fontId="12" fillId="5" borderId="22" xfId="1" applyFont="1" applyFill="1" applyBorder="1" applyAlignment="1">
      <alignment horizontal="center"/>
    </xf>
    <xf numFmtId="0" fontId="12" fillId="5" borderId="50" xfId="1" applyFont="1" applyFill="1" applyBorder="1" applyAlignment="1">
      <alignment horizontal="center"/>
    </xf>
    <xf numFmtId="0" fontId="10" fillId="2" borderId="7" xfId="1" applyFont="1" applyFill="1" applyBorder="1"/>
    <xf numFmtId="0" fontId="18" fillId="2" borderId="0" xfId="1" applyFont="1" applyFill="1" applyAlignment="1">
      <alignment horizontal="right" vertical="center" wrapText="1"/>
    </xf>
    <xf numFmtId="2" fontId="12" fillId="4" borderId="48" xfId="1" applyNumberFormat="1" applyFont="1" applyFill="1" applyBorder="1" applyAlignment="1">
      <alignment horizontal="center"/>
    </xf>
    <xf numFmtId="174" fontId="12" fillId="4" borderId="48" xfId="1" applyNumberFormat="1" applyFont="1" applyFill="1" applyBorder="1" applyAlignment="1">
      <alignment horizontal="center"/>
    </xf>
    <xf numFmtId="2" fontId="12" fillId="5" borderId="40" xfId="1" applyNumberFormat="1" applyFont="1" applyFill="1" applyBorder="1" applyAlignment="1">
      <alignment horizontal="center"/>
    </xf>
    <xf numFmtId="174" fontId="12" fillId="5" borderId="40" xfId="1" applyNumberFormat="1" applyFont="1" applyFill="1" applyBorder="1" applyAlignment="1">
      <alignment horizontal="center"/>
    </xf>
    <xf numFmtId="175" fontId="19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8" fillId="2" borderId="3" xfId="1" applyFont="1" applyFill="1" applyBorder="1" applyAlignment="1">
      <alignment horizontal="left" vertical="center" wrapText="1"/>
    </xf>
    <xf numFmtId="0" fontId="10" fillId="2" borderId="3" xfId="1" applyFont="1" applyFill="1" applyBorder="1"/>
    <xf numFmtId="0" fontId="10" fillId="2" borderId="4" xfId="1" applyFont="1" applyFill="1" applyBorder="1" applyAlignment="1">
      <alignment horizontal="center"/>
    </xf>
    <xf numFmtId="0" fontId="10" fillId="2" borderId="2" xfId="1" applyFont="1" applyFill="1" applyBorder="1"/>
    <xf numFmtId="0" fontId="11" fillId="2" borderId="5" xfId="1" applyFont="1" applyFill="1" applyBorder="1"/>
    <xf numFmtId="0" fontId="10" fillId="2" borderId="5" xfId="1" applyFont="1" applyFill="1" applyBorder="1"/>
    <xf numFmtId="0" fontId="2" fillId="2" borderId="0" xfId="2" applyFont="1" applyFill="1"/>
    <xf numFmtId="0" fontId="10" fillId="2" borderId="0" xfId="2" applyFont="1" applyFill="1"/>
    <xf numFmtId="0" fontId="24" fillId="2" borderId="0" xfId="2" applyFill="1"/>
    <xf numFmtId="0" fontId="11" fillId="2" borderId="0" xfId="2" applyFont="1" applyFill="1"/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Protection="1">
      <protection locked="0"/>
    </xf>
    <xf numFmtId="168" fontId="13" fillId="3" borderId="0" xfId="2" applyNumberFormat="1" applyFont="1" applyFill="1" applyAlignment="1" applyProtection="1">
      <alignment horizontal="center"/>
      <protection locked="0"/>
    </xf>
    <xf numFmtId="169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0" fontId="17" fillId="2" borderId="0" xfId="2" applyFont="1" applyFill="1"/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70" fontId="11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7" xfId="2" applyFont="1" applyFill="1" applyBorder="1" applyAlignment="1">
      <alignment horizontal="right"/>
    </xf>
    <xf numFmtId="0" fontId="12" fillId="3" borderId="18" xfId="2" applyFont="1" applyFill="1" applyBorder="1" applyAlignment="1" applyProtection="1">
      <alignment horizontal="center"/>
      <protection locked="0"/>
    </xf>
    <xf numFmtId="0" fontId="11" fillId="2" borderId="16" xfId="2" applyFont="1" applyFill="1" applyBorder="1" applyAlignment="1">
      <alignment horizontal="center"/>
    </xf>
    <xf numFmtId="0" fontId="11" fillId="2" borderId="19" xfId="2" applyFont="1" applyFill="1" applyBorder="1" applyAlignment="1">
      <alignment horizontal="center"/>
    </xf>
    <xf numFmtId="0" fontId="11" fillId="2" borderId="20" xfId="2" applyFont="1" applyFill="1" applyBorder="1" applyAlignment="1">
      <alignment horizontal="center"/>
    </xf>
    <xf numFmtId="0" fontId="11" fillId="2" borderId="21" xfId="2" applyFont="1" applyFill="1" applyBorder="1" applyAlignment="1">
      <alignment horizontal="center"/>
    </xf>
    <xf numFmtId="0" fontId="11" fillId="2" borderId="6" xfId="2" applyFont="1" applyFill="1" applyBorder="1" applyAlignment="1">
      <alignment horizontal="center"/>
    </xf>
    <xf numFmtId="0" fontId="10" fillId="2" borderId="22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1" fontId="10" fillId="2" borderId="20" xfId="2" applyNumberFormat="1" applyFont="1" applyFill="1" applyBorder="1" applyAlignment="1">
      <alignment horizontal="center"/>
    </xf>
    <xf numFmtId="171" fontId="10" fillId="2" borderId="24" xfId="2" applyNumberFormat="1" applyFont="1" applyFill="1" applyBorder="1" applyAlignment="1">
      <alignment horizontal="center"/>
    </xf>
    <xf numFmtId="0" fontId="17" fillId="2" borderId="7" xfId="2" applyFont="1" applyFill="1" applyBorder="1"/>
    <xf numFmtId="0" fontId="10" fillId="2" borderId="18" xfId="2" applyFont="1" applyFill="1" applyBorder="1" applyAlignment="1">
      <alignment horizontal="center"/>
    </xf>
    <xf numFmtId="0" fontId="12" fillId="3" borderId="17" xfId="2" applyFont="1" applyFill="1" applyBorder="1" applyAlignment="1" applyProtection="1">
      <alignment horizontal="center"/>
      <protection locked="0"/>
    </xf>
    <xf numFmtId="171" fontId="10" fillId="2" borderId="25" xfId="2" applyNumberFormat="1" applyFont="1" applyFill="1" applyBorder="1" applyAlignment="1">
      <alignment horizontal="center"/>
    </xf>
    <xf numFmtId="171" fontId="10" fillId="2" borderId="26" xfId="2" applyNumberFormat="1" applyFont="1" applyFill="1" applyBorder="1" applyAlignment="1">
      <alignment horizontal="center"/>
    </xf>
    <xf numFmtId="0" fontId="10" fillId="2" borderId="27" xfId="2" applyFont="1" applyFill="1" applyBorder="1" applyAlignment="1">
      <alignment horizontal="center"/>
    </xf>
    <xf numFmtId="0" fontId="12" fillId="3" borderId="28" xfId="2" applyFont="1" applyFill="1" applyBorder="1" applyAlignment="1" applyProtection="1">
      <alignment horizontal="center"/>
      <protection locked="0"/>
    </xf>
    <xf numFmtId="171" fontId="10" fillId="2" borderId="29" xfId="2" applyNumberFormat="1" applyFont="1" applyFill="1" applyBorder="1" applyAlignment="1">
      <alignment horizontal="center"/>
    </xf>
    <xf numFmtId="171" fontId="10" fillId="2" borderId="30" xfId="2" applyNumberFormat="1" applyFont="1" applyFill="1" applyBorder="1" applyAlignment="1">
      <alignment horizontal="center"/>
    </xf>
    <xf numFmtId="0" fontId="10" fillId="2" borderId="9" xfId="2" applyFont="1" applyFill="1" applyBorder="1"/>
    <xf numFmtId="0" fontId="10" fillId="2" borderId="18" xfId="2" applyFont="1" applyFill="1" applyBorder="1" applyAlignment="1">
      <alignment horizontal="right"/>
    </xf>
    <xf numFmtId="1" fontId="11" fillId="4" borderId="31" xfId="2" applyNumberFormat="1" applyFont="1" applyFill="1" applyBorder="1" applyAlignment="1">
      <alignment horizontal="center"/>
    </xf>
    <xf numFmtId="171" fontId="11" fillId="4" borderId="32" xfId="2" applyNumberFormat="1" applyFont="1" applyFill="1" applyBorder="1" applyAlignment="1">
      <alignment horizontal="center"/>
    </xf>
    <xf numFmtId="171" fontId="11" fillId="4" borderId="33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34" xfId="2" applyFont="1" applyFill="1" applyBorder="1" applyAlignment="1">
      <alignment horizontal="right"/>
    </xf>
    <xf numFmtId="0" fontId="12" fillId="3" borderId="10" xfId="2" applyFont="1" applyFill="1" applyBorder="1" applyAlignment="1" applyProtection="1">
      <alignment horizontal="center"/>
      <protection locked="0"/>
    </xf>
    <xf numFmtId="0" fontId="10" fillId="2" borderId="5" xfId="2" applyFont="1" applyFill="1" applyBorder="1" applyAlignment="1">
      <alignment horizontal="right"/>
    </xf>
    <xf numFmtId="2" fontId="10" fillId="4" borderId="35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5" borderId="35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166" fontId="10" fillId="4" borderId="35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4" borderId="11" xfId="2" applyNumberFormat="1" applyFont="1" applyFill="1" applyBorder="1" applyAlignment="1">
      <alignment horizontal="center"/>
    </xf>
    <xf numFmtId="0" fontId="10" fillId="2" borderId="36" xfId="2" applyFont="1" applyFill="1" applyBorder="1" applyAlignment="1">
      <alignment horizontal="right"/>
    </xf>
    <xf numFmtId="166" fontId="12" fillId="3" borderId="35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3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9" xfId="2" applyFont="1" applyFill="1" applyBorder="1" applyAlignment="1">
      <alignment horizontal="right"/>
    </xf>
    <xf numFmtId="2" fontId="10" fillId="4" borderId="9" xfId="2" applyNumberFormat="1" applyFont="1" applyFill="1" applyBorder="1" applyAlignment="1">
      <alignment horizontal="center"/>
    </xf>
    <xf numFmtId="171" fontId="11" fillId="5" borderId="7" xfId="2" applyNumberFormat="1" applyFont="1" applyFill="1" applyBorder="1" applyAlignment="1">
      <alignment horizontal="center"/>
    </xf>
    <xf numFmtId="171" fontId="10" fillId="2" borderId="0" xfId="2" applyNumberFormat="1" applyFont="1" applyFill="1" applyAlignment="1">
      <alignment horizontal="center"/>
    </xf>
    <xf numFmtId="10" fontId="10" fillId="4" borderId="35" xfId="2" applyNumberFormat="1" applyFont="1" applyFill="1" applyBorder="1" applyAlignment="1">
      <alignment horizontal="center"/>
    </xf>
    <xf numFmtId="0" fontId="10" fillId="2" borderId="37" xfId="2" applyFont="1" applyFill="1" applyBorder="1" applyAlignment="1">
      <alignment horizontal="right"/>
    </xf>
    <xf numFmtId="0" fontId="10" fillId="5" borderId="9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72" fontId="12" fillId="3" borderId="0" xfId="2" applyNumberFormat="1" applyFont="1" applyFill="1" applyAlignment="1" applyProtection="1">
      <alignment horizontal="center"/>
      <protection locked="0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7" xfId="2" applyNumberFormat="1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0" fontId="12" fillId="3" borderId="15" xfId="2" applyFont="1" applyFill="1" applyBorder="1" applyAlignment="1" applyProtection="1">
      <alignment horizontal="center"/>
      <protection locked="0"/>
    </xf>
    <xf numFmtId="166" fontId="10" fillId="2" borderId="15" xfId="2" applyNumberFormat="1" applyFont="1" applyFill="1" applyBorder="1" applyAlignment="1">
      <alignment horizontal="center"/>
    </xf>
    <xf numFmtId="173" fontId="10" fillId="2" borderId="7" xfId="2" applyNumberFormat="1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/>
    </xf>
    <xf numFmtId="166" fontId="10" fillId="2" borderId="17" xfId="2" applyNumberFormat="1" applyFont="1" applyFill="1" applyBorder="1" applyAlignment="1">
      <alignment horizontal="center"/>
    </xf>
    <xf numFmtId="173" fontId="10" fillId="2" borderId="8" xfId="2" applyNumberFormat="1" applyFont="1" applyFill="1" applyBorder="1" applyAlignment="1">
      <alignment horizontal="center" vertical="center"/>
    </xf>
    <xf numFmtId="1" fontId="12" fillId="3" borderId="17" xfId="2" applyNumberFormat="1" applyFont="1" applyFill="1" applyBorder="1" applyAlignment="1" applyProtection="1">
      <alignment horizontal="center"/>
      <protection locked="0"/>
    </xf>
    <xf numFmtId="0" fontId="10" fillId="2" borderId="9" xfId="2" applyFont="1" applyFill="1" applyBorder="1" applyAlignment="1">
      <alignment horizontal="center"/>
    </xf>
    <xf numFmtId="0" fontId="12" fillId="3" borderId="37" xfId="2" applyFont="1" applyFill="1" applyBorder="1" applyAlignment="1" applyProtection="1">
      <alignment horizontal="center"/>
      <protection locked="0"/>
    </xf>
    <xf numFmtId="166" fontId="10" fillId="2" borderId="37" xfId="2" applyNumberFormat="1" applyFont="1" applyFill="1" applyBorder="1" applyAlignment="1">
      <alignment horizontal="center"/>
    </xf>
    <xf numFmtId="173" fontId="10" fillId="2" borderId="9" xfId="2" applyNumberFormat="1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/>
    </xf>
    <xf numFmtId="2" fontId="13" fillId="2" borderId="38" xfId="2" applyNumberFormat="1" applyFont="1" applyFill="1" applyBorder="1" applyAlignment="1">
      <alignment horizontal="center"/>
    </xf>
    <xf numFmtId="0" fontId="10" fillId="2" borderId="39" xfId="2" applyFont="1" applyFill="1" applyBorder="1" applyAlignment="1">
      <alignment horizontal="right"/>
    </xf>
    <xf numFmtId="2" fontId="12" fillId="5" borderId="27" xfId="2" applyNumberFormat="1" applyFont="1" applyFill="1" applyBorder="1" applyAlignment="1">
      <alignment horizontal="center"/>
    </xf>
    <xf numFmtId="173" fontId="12" fillId="5" borderId="27" xfId="2" applyNumberFormat="1" applyFont="1" applyFill="1" applyBorder="1" applyAlignment="1">
      <alignment horizontal="center"/>
    </xf>
    <xf numFmtId="0" fontId="10" fillId="2" borderId="35" xfId="2" applyFont="1" applyFill="1" applyBorder="1" applyAlignment="1">
      <alignment horizontal="right"/>
    </xf>
    <xf numFmtId="10" fontId="12" fillId="4" borderId="48" xfId="2" applyNumberFormat="1" applyFont="1" applyFill="1" applyBorder="1" applyAlignment="1">
      <alignment horizontal="center"/>
    </xf>
    <xf numFmtId="0" fontId="10" fillId="2" borderId="11" xfId="2" applyFont="1" applyFill="1" applyBorder="1" applyAlignment="1">
      <alignment horizontal="right"/>
    </xf>
    <xf numFmtId="0" fontId="12" fillId="5" borderId="40" xfId="2" applyFont="1" applyFill="1" applyBorder="1" applyAlignment="1">
      <alignment horizontal="center"/>
    </xf>
    <xf numFmtId="174" fontId="12" fillId="2" borderId="0" xfId="2" applyNumberFormat="1" applyFont="1" applyFill="1" applyAlignment="1">
      <alignment horizontal="center"/>
    </xf>
    <xf numFmtId="0" fontId="11" fillId="2" borderId="41" xfId="2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0" fontId="11" fillId="2" borderId="4" xfId="2" applyFont="1" applyFill="1" applyBorder="1" applyAlignment="1">
      <alignment horizontal="center"/>
    </xf>
    <xf numFmtId="0" fontId="11" fillId="2" borderId="24" xfId="2" applyFont="1" applyFill="1" applyBorder="1" applyAlignment="1">
      <alignment horizontal="center"/>
    </xf>
    <xf numFmtId="0" fontId="10" fillId="2" borderId="42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171" fontId="12" fillId="3" borderId="28" xfId="2" applyNumberFormat="1" applyFont="1" applyFill="1" applyBorder="1" applyAlignment="1" applyProtection="1">
      <alignment horizontal="center"/>
      <protection locked="0"/>
    </xf>
    <xf numFmtId="1" fontId="11" fillId="4" borderId="43" xfId="2" applyNumberFormat="1" applyFont="1" applyFill="1" applyBorder="1" applyAlignment="1">
      <alignment horizontal="center"/>
    </xf>
    <xf numFmtId="1" fontId="11" fillId="4" borderId="44" xfId="2" applyNumberFormat="1" applyFont="1" applyFill="1" applyBorder="1" applyAlignment="1">
      <alignment horizontal="center"/>
    </xf>
    <xf numFmtId="171" fontId="11" fillId="4" borderId="9" xfId="2" applyNumberFormat="1" applyFont="1" applyFill="1" applyBorder="1" applyAlignment="1">
      <alignment horizontal="center"/>
    </xf>
    <xf numFmtId="0" fontId="10" fillId="2" borderId="45" xfId="2" applyFont="1" applyFill="1" applyBorder="1" applyAlignment="1">
      <alignment horizontal="right"/>
    </xf>
    <xf numFmtId="0" fontId="12" fillId="3" borderId="46" xfId="2" applyFont="1" applyFill="1" applyBorder="1" applyAlignment="1" applyProtection="1">
      <alignment horizontal="center"/>
      <protection locked="0"/>
    </xf>
    <xf numFmtId="0" fontId="10" fillId="2" borderId="19" xfId="2" applyFont="1" applyFill="1" applyBorder="1" applyAlignment="1">
      <alignment horizontal="right"/>
    </xf>
    <xf numFmtId="2" fontId="10" fillId="4" borderId="21" xfId="2" applyNumberFormat="1" applyFont="1" applyFill="1" applyBorder="1" applyAlignment="1">
      <alignment horizontal="center"/>
    </xf>
    <xf numFmtId="2" fontId="10" fillId="5" borderId="21" xfId="2" applyNumberFormat="1" applyFont="1" applyFill="1" applyBorder="1" applyAlignment="1">
      <alignment horizontal="center"/>
    </xf>
    <xf numFmtId="166" fontId="10" fillId="4" borderId="21" xfId="2" applyNumberFormat="1" applyFont="1" applyFill="1" applyBorder="1" applyAlignment="1">
      <alignment horizontal="center"/>
    </xf>
    <xf numFmtId="166" fontId="10" fillId="5" borderId="21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47" xfId="2" applyFont="1" applyFill="1" applyBorder="1" applyAlignment="1">
      <alignment horizontal="right"/>
    </xf>
    <xf numFmtId="2" fontId="10" fillId="5" borderId="24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0" xfId="2" applyFont="1" applyFill="1" applyBorder="1" applyAlignment="1">
      <alignment horizontal="right"/>
    </xf>
    <xf numFmtId="171" fontId="11" fillId="5" borderId="10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4" borderId="35" xfId="2" applyNumberFormat="1" applyFont="1" applyFill="1" applyBorder="1" applyAlignment="1">
      <alignment horizontal="center"/>
    </xf>
    <xf numFmtId="0" fontId="11" fillId="5" borderId="11" xfId="2" applyFont="1" applyFill="1" applyBorder="1" applyAlignment="1">
      <alignment horizontal="center"/>
    </xf>
    <xf numFmtId="0" fontId="11" fillId="2" borderId="16" xfId="2" applyFont="1" applyFill="1" applyBorder="1" applyAlignment="1">
      <alignment horizontal="center" wrapText="1"/>
    </xf>
    <xf numFmtId="1" fontId="12" fillId="3" borderId="7" xfId="2" applyNumberFormat="1" applyFont="1" applyFill="1" applyBorder="1" applyAlignment="1" applyProtection="1">
      <alignment horizontal="center"/>
      <protection locked="0"/>
    </xf>
    <xf numFmtId="166" fontId="10" fillId="2" borderId="7" xfId="2" applyNumberFormat="1" applyFont="1" applyFill="1" applyBorder="1" applyAlignment="1">
      <alignment horizontal="center"/>
    </xf>
    <xf numFmtId="173" fontId="10" fillId="2" borderId="16" xfId="2" applyNumberFormat="1" applyFont="1" applyFill="1" applyBorder="1" applyAlignment="1">
      <alignment horizontal="center"/>
    </xf>
    <xf numFmtId="1" fontId="12" fillId="3" borderId="8" xfId="2" applyNumberFormat="1" applyFont="1" applyFill="1" applyBorder="1" applyAlignment="1" applyProtection="1">
      <alignment horizontal="center"/>
      <protection locked="0"/>
    </xf>
    <xf numFmtId="166" fontId="10" fillId="2" borderId="8" xfId="2" applyNumberFormat="1" applyFont="1" applyFill="1" applyBorder="1" applyAlignment="1">
      <alignment horizontal="center"/>
    </xf>
    <xf numFmtId="173" fontId="10" fillId="2" borderId="18" xfId="2" applyNumberFormat="1" applyFont="1" applyFill="1" applyBorder="1" applyAlignment="1">
      <alignment horizontal="center"/>
    </xf>
    <xf numFmtId="1" fontId="12" fillId="3" borderId="9" xfId="2" applyNumberFormat="1" applyFont="1" applyFill="1" applyBorder="1" applyAlignment="1" applyProtection="1">
      <alignment horizontal="center"/>
      <protection locked="0"/>
    </xf>
    <xf numFmtId="166" fontId="10" fillId="2" borderId="9" xfId="2" applyNumberFormat="1" applyFont="1" applyFill="1" applyBorder="1" applyAlignment="1">
      <alignment horizontal="center"/>
    </xf>
    <xf numFmtId="173" fontId="10" fillId="2" borderId="38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171" fontId="10" fillId="2" borderId="10" xfId="2" applyNumberFormat="1" applyFont="1" applyFill="1" applyBorder="1" applyAlignment="1">
      <alignment horizontal="right"/>
    </xf>
    <xf numFmtId="2" fontId="12" fillId="5" borderId="49" xfId="2" applyNumberFormat="1" applyFont="1" applyFill="1" applyBorder="1" applyAlignment="1">
      <alignment horizontal="center"/>
    </xf>
    <xf numFmtId="174" fontId="12" fillId="5" borderId="46" xfId="2" applyNumberFormat="1" applyFont="1" applyFill="1" applyBorder="1" applyAlignment="1">
      <alignment horizontal="center"/>
    </xf>
    <xf numFmtId="0" fontId="10" fillId="2" borderId="17" xfId="2" applyFont="1" applyFill="1" applyBorder="1"/>
    <xf numFmtId="0" fontId="10" fillId="2" borderId="8" xfId="2" applyFont="1" applyFill="1" applyBorder="1" applyAlignment="1">
      <alignment horizontal="right"/>
    </xf>
    <xf numFmtId="10" fontId="12" fillId="4" borderId="21" xfId="2" applyNumberFormat="1" applyFont="1" applyFill="1" applyBorder="1" applyAlignment="1">
      <alignment horizontal="center"/>
    </xf>
    <xf numFmtId="0" fontId="10" fillId="2" borderId="37" xfId="2" applyFont="1" applyFill="1" applyBorder="1"/>
    <xf numFmtId="0" fontId="12" fillId="5" borderId="22" xfId="2" applyFont="1" applyFill="1" applyBorder="1" applyAlignment="1">
      <alignment horizontal="center"/>
    </xf>
    <xf numFmtId="0" fontId="12" fillId="5" borderId="50" xfId="2" applyFont="1" applyFill="1" applyBorder="1" applyAlignment="1">
      <alignment horizontal="center"/>
    </xf>
    <xf numFmtId="0" fontId="10" fillId="2" borderId="7" xfId="2" applyFont="1" applyFill="1" applyBorder="1"/>
    <xf numFmtId="0" fontId="18" fillId="2" borderId="0" xfId="2" applyFont="1" applyFill="1" applyAlignment="1">
      <alignment horizontal="right" vertical="center" wrapText="1"/>
    </xf>
    <xf numFmtId="2" fontId="12" fillId="4" borderId="48" xfId="2" applyNumberFormat="1" applyFont="1" applyFill="1" applyBorder="1" applyAlignment="1">
      <alignment horizontal="center"/>
    </xf>
    <xf numFmtId="174" fontId="12" fillId="4" borderId="48" xfId="2" applyNumberFormat="1" applyFont="1" applyFill="1" applyBorder="1" applyAlignment="1">
      <alignment horizontal="center"/>
    </xf>
    <xf numFmtId="2" fontId="12" fillId="5" borderId="40" xfId="2" applyNumberFormat="1" applyFont="1" applyFill="1" applyBorder="1" applyAlignment="1">
      <alignment horizontal="center"/>
    </xf>
    <xf numFmtId="174" fontId="12" fillId="5" borderId="40" xfId="2" applyNumberFormat="1" applyFont="1" applyFill="1" applyBorder="1" applyAlignment="1">
      <alignment horizontal="center"/>
    </xf>
    <xf numFmtId="175" fontId="19" fillId="2" borderId="0" xfId="2" applyNumberFormat="1" applyFont="1" applyFill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8" fillId="2" borderId="3" xfId="2" applyFont="1" applyFill="1" applyBorder="1" applyAlignment="1">
      <alignment horizontal="left" vertical="center" wrapText="1"/>
    </xf>
    <xf numFmtId="0" fontId="10" fillId="2" borderId="3" xfId="2" applyFont="1" applyFill="1" applyBorder="1"/>
    <xf numFmtId="0" fontId="10" fillId="2" borderId="4" xfId="2" applyFont="1" applyFill="1" applyBorder="1" applyAlignment="1">
      <alignment horizontal="center"/>
    </xf>
    <xf numFmtId="0" fontId="10" fillId="2" borderId="2" xfId="2" applyFont="1" applyFill="1" applyBorder="1"/>
    <xf numFmtId="0" fontId="11" fillId="2" borderId="5" xfId="2" applyFont="1" applyFill="1" applyBorder="1"/>
    <xf numFmtId="0" fontId="10" fillId="2" borderId="5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51" xfId="3" applyFont="1" applyFill="1" applyBorder="1" applyAlignment="1">
      <alignment horizontal="center"/>
    </xf>
    <xf numFmtId="0" fontId="6" fillId="2" borderId="52" xfId="3" applyFont="1" applyFill="1" applyBorder="1" applyAlignment="1">
      <alignment horizontal="center"/>
    </xf>
    <xf numFmtId="0" fontId="25" fillId="3" borderId="52" xfId="3" applyFont="1" applyFill="1" applyBorder="1" applyAlignment="1" applyProtection="1">
      <alignment horizontal="center"/>
      <protection locked="0"/>
    </xf>
    <xf numFmtId="2" fontId="25" fillId="3" borderId="52" xfId="3" applyNumberFormat="1" applyFont="1" applyFill="1" applyBorder="1" applyAlignment="1" applyProtection="1">
      <alignment horizontal="center"/>
      <protection locked="0"/>
    </xf>
    <xf numFmtId="2" fontId="25" fillId="3" borderId="53" xfId="3" applyNumberFormat="1" applyFont="1" applyFill="1" applyBorder="1" applyAlignment="1" applyProtection="1">
      <alignment horizontal="center"/>
      <protection locked="0"/>
    </xf>
    <xf numFmtId="0" fontId="25" fillId="3" borderId="54" xfId="3" applyFont="1" applyFill="1" applyBorder="1" applyAlignment="1" applyProtection="1">
      <alignment horizontal="center"/>
      <protection locked="0"/>
    </xf>
    <xf numFmtId="2" fontId="25" fillId="3" borderId="54" xfId="3" applyNumberFormat="1" applyFont="1" applyFill="1" applyBorder="1" applyAlignment="1" applyProtection="1">
      <alignment horizontal="center"/>
      <protection locked="0"/>
    </xf>
    <xf numFmtId="0" fontId="6" fillId="2" borderId="53" xfId="3" applyFont="1" applyFill="1" applyBorder="1"/>
    <xf numFmtId="1" fontId="5" fillId="6" borderId="51" xfId="3" applyNumberFormat="1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2" fontId="5" fillId="6" borderId="1" xfId="3" applyNumberFormat="1" applyFont="1" applyFill="1" applyBorder="1" applyAlignment="1">
      <alignment horizontal="center"/>
    </xf>
    <xf numFmtId="0" fontId="6" fillId="2" borderId="52" xfId="3" applyFont="1" applyFill="1" applyBorder="1"/>
    <xf numFmtId="10" fontId="5" fillId="7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55" xfId="3" applyFont="1" applyFill="1" applyBorder="1"/>
    <xf numFmtId="0" fontId="6" fillId="2" borderId="54" xfId="3" applyFont="1" applyFill="1" applyBorder="1"/>
    <xf numFmtId="0" fontId="5" fillId="6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2" xfId="3" applyFont="1" applyFill="1" applyBorder="1"/>
    <xf numFmtId="0" fontId="6" fillId="2" borderId="56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3" xfId="3" applyFont="1" applyFill="1" applyBorder="1"/>
    <xf numFmtId="0" fontId="2" fillId="2" borderId="0" xfId="3" applyFont="1" applyFill="1" applyAlignment="1">
      <alignment horizontal="center"/>
    </xf>
    <xf numFmtId="10" fontId="2" fillId="2" borderId="3" xfId="3" applyNumberFormat="1" applyFont="1" applyFill="1" applyBorder="1"/>
    <xf numFmtId="0" fontId="24" fillId="2" borderId="0" xfId="3" applyFill="1"/>
    <xf numFmtId="0" fontId="1" fillId="2" borderId="4" xfId="3" applyFont="1" applyFill="1" applyBorder="1" applyAlignment="1">
      <alignment horizontal="center"/>
    </xf>
    <xf numFmtId="0" fontId="2" fillId="2" borderId="4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2" xfId="3" applyFont="1" applyFill="1" applyBorder="1"/>
    <xf numFmtId="0" fontId="1" fillId="2" borderId="5" xfId="3" applyFont="1" applyFill="1" applyBorder="1"/>
    <xf numFmtId="0" fontId="2" fillId="2" borderId="5" xfId="3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51" xfId="1" applyFont="1" applyFill="1" applyBorder="1" applyAlignment="1">
      <alignment horizontal="center"/>
    </xf>
    <xf numFmtId="0" fontId="6" fillId="2" borderId="52" xfId="1" applyFont="1" applyFill="1" applyBorder="1" applyAlignment="1">
      <alignment horizontal="center"/>
    </xf>
    <xf numFmtId="0" fontId="25" fillId="3" borderId="52" xfId="1" applyFont="1" applyFill="1" applyBorder="1" applyAlignment="1" applyProtection="1">
      <alignment horizontal="center"/>
      <protection locked="0"/>
    </xf>
    <xf numFmtId="2" fontId="25" fillId="3" borderId="52" xfId="1" applyNumberFormat="1" applyFont="1" applyFill="1" applyBorder="1" applyAlignment="1" applyProtection="1">
      <alignment horizontal="center"/>
      <protection locked="0"/>
    </xf>
    <xf numFmtId="2" fontId="25" fillId="3" borderId="53" xfId="1" applyNumberFormat="1" applyFont="1" applyFill="1" applyBorder="1" applyAlignment="1" applyProtection="1">
      <alignment horizontal="center"/>
      <protection locked="0"/>
    </xf>
    <xf numFmtId="0" fontId="25" fillId="3" borderId="54" xfId="1" applyFont="1" applyFill="1" applyBorder="1" applyAlignment="1" applyProtection="1">
      <alignment horizontal="center"/>
      <protection locked="0"/>
    </xf>
    <xf numFmtId="2" fontId="25" fillId="3" borderId="54" xfId="1" applyNumberFormat="1" applyFont="1" applyFill="1" applyBorder="1" applyAlignment="1" applyProtection="1">
      <alignment horizontal="center"/>
      <protection locked="0"/>
    </xf>
    <xf numFmtId="0" fontId="6" fillId="2" borderId="53" xfId="1" applyFont="1" applyFill="1" applyBorder="1"/>
    <xf numFmtId="1" fontId="5" fillId="6" borderId="51" xfId="1" applyNumberFormat="1" applyFont="1" applyFill="1" applyBorder="1" applyAlignment="1">
      <alignment horizontal="center"/>
    </xf>
    <xf numFmtId="1" fontId="5" fillId="6" borderId="1" xfId="1" applyNumberFormat="1" applyFont="1" applyFill="1" applyBorder="1" applyAlignment="1">
      <alignment horizontal="center"/>
    </xf>
    <xf numFmtId="2" fontId="5" fillId="6" borderId="1" xfId="1" applyNumberFormat="1" applyFont="1" applyFill="1" applyBorder="1" applyAlignment="1">
      <alignment horizontal="center"/>
    </xf>
    <xf numFmtId="0" fontId="6" fillId="2" borderId="52" xfId="1" applyFont="1" applyFill="1" applyBorder="1"/>
    <xf numFmtId="10" fontId="5" fillId="7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55" xfId="1" applyFont="1" applyFill="1" applyBorder="1"/>
    <xf numFmtId="0" fontId="6" fillId="2" borderId="54" xfId="1" applyFont="1" applyFill="1" applyBorder="1"/>
    <xf numFmtId="0" fontId="5" fillId="6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2" xfId="1" applyFont="1" applyFill="1" applyBorder="1"/>
    <xf numFmtId="0" fontId="6" fillId="2" borderId="56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3" xfId="1" applyFont="1" applyFill="1" applyBorder="1"/>
    <xf numFmtId="10" fontId="2" fillId="2" borderId="3" xfId="1" applyNumberFormat="1" applyFont="1" applyFill="1" applyBorder="1"/>
    <xf numFmtId="0" fontId="1" fillId="2" borderId="4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2" xfId="1" applyFont="1" applyFill="1" applyBorder="1"/>
    <xf numFmtId="0" fontId="1" fillId="2" borderId="5" xfId="1" applyFont="1" applyFill="1" applyBorder="1"/>
    <xf numFmtId="0" fontId="2" fillId="2" borderId="5" xfId="1" applyFont="1" applyFill="1" applyBorder="1"/>
    <xf numFmtId="2" fontId="25" fillId="3" borderId="20" xfId="1" applyNumberFormat="1" applyFont="1" applyFill="1" applyBorder="1" applyAlignment="1" applyProtection="1">
      <alignment horizontal="center"/>
      <protection locked="0"/>
    </xf>
    <xf numFmtId="2" fontId="25" fillId="3" borderId="25" xfId="1" applyNumberFormat="1" applyFont="1" applyFill="1" applyBorder="1" applyAlignment="1" applyProtection="1">
      <alignment horizontal="center"/>
      <protection locked="0"/>
    </xf>
    <xf numFmtId="2" fontId="25" fillId="3" borderId="29" xfId="1" applyNumberFormat="1" applyFont="1" applyFill="1" applyBorder="1" applyAlignment="1" applyProtection="1">
      <alignment horizontal="center"/>
      <protection locked="0"/>
    </xf>
    <xf numFmtId="2" fontId="5" fillId="6" borderId="51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58" xfId="1" applyFont="1" applyFill="1" applyBorder="1"/>
    <xf numFmtId="0" fontId="2" fillId="2" borderId="59" xfId="1" applyFont="1" applyFill="1" applyBorder="1"/>
    <xf numFmtId="0" fontId="29" fillId="2" borderId="57" xfId="1" applyFont="1" applyFill="1" applyBorder="1"/>
    <xf numFmtId="0" fontId="27" fillId="8" borderId="58" xfId="1" applyFont="1" applyFill="1" applyBorder="1" applyAlignment="1">
      <alignment horizontal="center"/>
    </xf>
    <xf numFmtId="0" fontId="26" fillId="2" borderId="0" xfId="1" applyFont="1" applyFill="1"/>
    <xf numFmtId="0" fontId="28" fillId="2" borderId="0" xfId="1" applyFont="1" applyFill="1" applyAlignment="1" applyProtection="1">
      <alignment horizontal="left"/>
      <protection locked="0"/>
    </xf>
    <xf numFmtId="0" fontId="3" fillId="2" borderId="0" xfId="3" applyFont="1" applyFill="1" applyAlignment="1">
      <alignment horizontal="center"/>
    </xf>
    <xf numFmtId="0" fontId="1" fillId="2" borderId="4" xfId="3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4" xfId="1" applyFont="1" applyFill="1" applyBorder="1" applyAlignment="1">
      <alignment horizontal="center"/>
    </xf>
    <xf numFmtId="10" fontId="14" fillId="2" borderId="8" xfId="1" applyNumberFormat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left" vertical="center" wrapText="1"/>
    </xf>
    <xf numFmtId="0" fontId="18" fillId="2" borderId="4" xfId="1" applyFont="1" applyFill="1" applyBorder="1" applyAlignment="1">
      <alignment horizontal="left" vertical="center" wrapText="1"/>
    </xf>
    <xf numFmtId="0" fontId="18" fillId="2" borderId="37" xfId="1" applyFont="1" applyFill="1" applyBorder="1" applyAlignment="1">
      <alignment horizontal="left" vertical="center" wrapText="1"/>
    </xf>
    <xf numFmtId="0" fontId="18" fillId="2" borderId="3" xfId="1" applyFont="1" applyFill="1" applyBorder="1" applyAlignment="1">
      <alignment horizontal="left" vertical="center" wrapText="1"/>
    </xf>
    <xf numFmtId="0" fontId="18" fillId="2" borderId="16" xfId="1" applyFont="1" applyFill="1" applyBorder="1" applyAlignment="1">
      <alignment horizontal="left" vertical="center" wrapText="1"/>
    </xf>
    <xf numFmtId="0" fontId="18" fillId="2" borderId="38" xfId="1" applyFont="1" applyFill="1" applyBorder="1" applyAlignment="1">
      <alignment horizontal="left" vertical="center" wrapText="1"/>
    </xf>
    <xf numFmtId="0" fontId="11" fillId="2" borderId="41" xfId="1" applyFont="1" applyFill="1" applyBorder="1" applyAlignment="1">
      <alignment horizontal="center" vertical="center"/>
    </xf>
    <xf numFmtId="0" fontId="11" fillId="2" borderId="49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8" fillId="2" borderId="12" xfId="1" applyFont="1" applyFill="1" applyBorder="1" applyAlignment="1">
      <alignment horizontal="justify" vertical="center" wrapText="1"/>
    </xf>
    <xf numFmtId="0" fontId="18" fillId="2" borderId="13" xfId="1" applyFont="1" applyFill="1" applyBorder="1" applyAlignment="1">
      <alignment horizontal="justify" vertical="center" wrapText="1"/>
    </xf>
    <xf numFmtId="0" fontId="18" fillId="2" borderId="14" xfId="1" applyFont="1" applyFill="1" applyBorder="1" applyAlignment="1">
      <alignment horizontal="justify" vertical="center" wrapText="1"/>
    </xf>
    <xf numFmtId="0" fontId="18" fillId="2" borderId="12" xfId="1" applyFont="1" applyFill="1" applyBorder="1" applyAlignment="1">
      <alignment horizontal="left" vertical="center" wrapText="1"/>
    </xf>
    <xf numFmtId="0" fontId="18" fillId="2" borderId="13" xfId="1" applyFont="1" applyFill="1" applyBorder="1" applyAlignment="1">
      <alignment horizontal="left" vertical="center" wrapText="1"/>
    </xf>
    <xf numFmtId="0" fontId="18" fillId="2" borderId="14" xfId="1" applyFont="1" applyFill="1" applyBorder="1" applyAlignment="1">
      <alignment horizontal="left" vertical="center" wrapText="1"/>
    </xf>
    <xf numFmtId="0" fontId="11" fillId="2" borderId="41" xfId="1" applyFont="1" applyFill="1" applyBorder="1" applyAlignment="1">
      <alignment horizontal="center"/>
    </xf>
    <xf numFmtId="0" fontId="11" fillId="2" borderId="49" xfId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2" fontId="12" fillId="3" borderId="7" xfId="1" applyNumberFormat="1" applyFont="1" applyFill="1" applyBorder="1" applyAlignment="1" applyProtection="1">
      <alignment horizontal="center" vertical="center"/>
      <protection locked="0"/>
    </xf>
    <xf numFmtId="2" fontId="12" fillId="3" borderId="8" xfId="1" applyNumberFormat="1" applyFont="1" applyFill="1" applyBorder="1" applyAlignment="1" applyProtection="1">
      <alignment horizontal="center" vertical="center"/>
      <protection locked="0"/>
    </xf>
    <xf numFmtId="2" fontId="12" fillId="3" borderId="9" xfId="1" applyNumberFormat="1" applyFont="1" applyFill="1" applyBorder="1" applyAlignment="1" applyProtection="1">
      <alignment horizontal="center" vertical="center"/>
      <protection locked="0"/>
    </xf>
    <xf numFmtId="0" fontId="11" fillId="2" borderId="37" xfId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center" vertical="center" wrapText="1"/>
    </xf>
    <xf numFmtId="0" fontId="18" fillId="2" borderId="16" xfId="1" applyFont="1" applyFill="1" applyBorder="1" applyAlignment="1">
      <alignment horizontal="center" vertical="center" wrapText="1"/>
    </xf>
    <xf numFmtId="0" fontId="18" fillId="2" borderId="37" xfId="1" applyFont="1" applyFill="1" applyBorder="1" applyAlignment="1">
      <alignment horizontal="center" vertical="center" wrapText="1"/>
    </xf>
    <xf numFmtId="0" fontId="18" fillId="2" borderId="38" xfId="1" applyFont="1" applyFill="1" applyBorder="1" applyAlignment="1">
      <alignment horizontal="center" vertical="center" wrapText="1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8" fillId="2" borderId="12" xfId="1" applyFont="1" applyFill="1" applyBorder="1" applyAlignment="1">
      <alignment horizontal="center"/>
    </xf>
    <xf numFmtId="0" fontId="18" fillId="2" borderId="13" xfId="1" applyFont="1" applyFill="1" applyBorder="1" applyAlignment="1">
      <alignment horizontal="center"/>
    </xf>
    <xf numFmtId="0" fontId="18" fillId="2" borderId="14" xfId="1" applyFont="1" applyFill="1" applyBorder="1" applyAlignment="1">
      <alignment horizontal="center"/>
    </xf>
    <xf numFmtId="0" fontId="22" fillId="2" borderId="4" xfId="1" applyFont="1" applyFill="1" applyBorder="1" applyAlignment="1">
      <alignment horizontal="center" vertical="center"/>
    </xf>
    <xf numFmtId="0" fontId="12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4" fillId="2" borderId="8" xfId="2" applyNumberFormat="1" applyFont="1" applyFill="1" applyBorder="1" applyAlignment="1">
      <alignment horizontal="center" vertical="center"/>
    </xf>
    <xf numFmtId="0" fontId="18" fillId="2" borderId="15" xfId="2" applyFont="1" applyFill="1" applyBorder="1" applyAlignment="1">
      <alignment horizontal="left" vertical="center" wrapText="1"/>
    </xf>
    <xf numFmtId="0" fontId="18" fillId="2" borderId="4" xfId="2" applyFont="1" applyFill="1" applyBorder="1" applyAlignment="1">
      <alignment horizontal="left" vertical="center" wrapText="1"/>
    </xf>
    <xf numFmtId="0" fontId="18" fillId="2" borderId="37" xfId="2" applyFont="1" applyFill="1" applyBorder="1" applyAlignment="1">
      <alignment horizontal="left" vertical="center" wrapText="1"/>
    </xf>
    <xf numFmtId="0" fontId="18" fillId="2" borderId="3" xfId="2" applyFont="1" applyFill="1" applyBorder="1" applyAlignment="1">
      <alignment horizontal="left" vertical="center" wrapText="1"/>
    </xf>
    <xf numFmtId="0" fontId="18" fillId="2" borderId="16" xfId="2" applyFont="1" applyFill="1" applyBorder="1" applyAlignment="1">
      <alignment horizontal="left" vertical="center" wrapText="1"/>
    </xf>
    <xf numFmtId="0" fontId="18" fillId="2" borderId="38" xfId="2" applyFont="1" applyFill="1" applyBorder="1" applyAlignment="1">
      <alignment horizontal="left" vertical="center" wrapText="1"/>
    </xf>
    <xf numFmtId="0" fontId="11" fillId="2" borderId="41" xfId="2" applyFont="1" applyFill="1" applyBorder="1" applyAlignment="1">
      <alignment horizontal="center" vertical="center"/>
    </xf>
    <xf numFmtId="0" fontId="11" fillId="2" borderId="49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/>
    </xf>
    <xf numFmtId="0" fontId="11" fillId="2" borderId="4" xfId="2" applyFont="1" applyFill="1" applyBorder="1" applyAlignment="1">
      <alignment horizontal="center"/>
    </xf>
    <xf numFmtId="0" fontId="12" fillId="3" borderId="0" xfId="2" applyFont="1" applyFill="1" applyAlignment="1" applyProtection="1">
      <alignment horizontal="left"/>
      <protection locked="0"/>
    </xf>
    <xf numFmtId="0" fontId="18" fillId="2" borderId="12" xfId="2" applyFont="1" applyFill="1" applyBorder="1" applyAlignment="1">
      <alignment horizontal="justify" vertical="center" wrapText="1"/>
    </xf>
    <xf numFmtId="0" fontId="18" fillId="2" borderId="13" xfId="2" applyFont="1" applyFill="1" applyBorder="1" applyAlignment="1">
      <alignment horizontal="justify" vertical="center" wrapText="1"/>
    </xf>
    <xf numFmtId="0" fontId="18" fillId="2" borderId="14" xfId="2" applyFont="1" applyFill="1" applyBorder="1" applyAlignment="1">
      <alignment horizontal="justify" vertical="center" wrapText="1"/>
    </xf>
    <xf numFmtId="0" fontId="18" fillId="2" borderId="12" xfId="2" applyFont="1" applyFill="1" applyBorder="1" applyAlignment="1">
      <alignment horizontal="left" vertical="center" wrapText="1"/>
    </xf>
    <xf numFmtId="0" fontId="18" fillId="2" borderId="13" xfId="2" applyFont="1" applyFill="1" applyBorder="1" applyAlignment="1">
      <alignment horizontal="left" vertical="center" wrapText="1"/>
    </xf>
    <xf numFmtId="0" fontId="18" fillId="2" borderId="14" xfId="2" applyFont="1" applyFill="1" applyBorder="1" applyAlignment="1">
      <alignment horizontal="left" vertical="center" wrapText="1"/>
    </xf>
    <xf numFmtId="0" fontId="11" fillId="2" borderId="41" xfId="2" applyFont="1" applyFill="1" applyBorder="1" applyAlignment="1">
      <alignment horizontal="center"/>
    </xf>
    <xf numFmtId="0" fontId="11" fillId="2" borderId="49" xfId="2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0" fontId="11" fillId="2" borderId="4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2" fontId="12" fillId="3" borderId="7" xfId="2" applyNumberFormat="1" applyFont="1" applyFill="1" applyBorder="1" applyAlignment="1" applyProtection="1">
      <alignment horizontal="center" vertical="center"/>
      <protection locked="0"/>
    </xf>
    <xf numFmtId="2" fontId="12" fillId="3" borderId="8" xfId="2" applyNumberFormat="1" applyFont="1" applyFill="1" applyBorder="1" applyAlignment="1" applyProtection="1">
      <alignment horizontal="center" vertical="center"/>
      <protection locked="0"/>
    </xf>
    <xf numFmtId="2" fontId="12" fillId="3" borderId="9" xfId="2" applyNumberFormat="1" applyFont="1" applyFill="1" applyBorder="1" applyAlignment="1" applyProtection="1">
      <alignment horizontal="center" vertical="center"/>
      <protection locked="0"/>
    </xf>
    <xf numFmtId="0" fontId="11" fillId="2" borderId="37" xfId="2" applyFont="1" applyFill="1" applyBorder="1" applyAlignment="1">
      <alignment horizontal="center" vertical="center"/>
    </xf>
    <xf numFmtId="0" fontId="18" fillId="2" borderId="15" xfId="2" applyFont="1" applyFill="1" applyBorder="1" applyAlignment="1">
      <alignment horizontal="center" vertical="center" wrapText="1"/>
    </xf>
    <xf numFmtId="0" fontId="18" fillId="2" borderId="16" xfId="2" applyFont="1" applyFill="1" applyBorder="1" applyAlignment="1">
      <alignment horizontal="center" vertical="center" wrapText="1"/>
    </xf>
    <xf numFmtId="0" fontId="18" fillId="2" borderId="37" xfId="2" applyFont="1" applyFill="1" applyBorder="1" applyAlignment="1">
      <alignment horizontal="center" vertical="center" wrapText="1"/>
    </xf>
    <xf numFmtId="0" fontId="18" fillId="2" borderId="38" xfId="2" applyFont="1" applyFill="1" applyBorder="1" applyAlignment="1">
      <alignment horizontal="center" vertical="center" wrapText="1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2" xfId="2" applyFont="1" applyFill="1" applyBorder="1" applyAlignment="1">
      <alignment horizontal="center"/>
    </xf>
    <xf numFmtId="0" fontId="18" fillId="2" borderId="13" xfId="2" applyFont="1" applyFill="1" applyBorder="1" applyAlignment="1">
      <alignment horizontal="center"/>
    </xf>
    <xf numFmtId="0" fontId="18" fillId="2" borderId="14" xfId="2" applyFont="1" applyFill="1" applyBorder="1" applyAlignment="1">
      <alignment horizontal="center"/>
    </xf>
    <xf numFmtId="0" fontId="22" fillId="2" borderId="4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/>
      <protection locked="0"/>
    </xf>
    <xf numFmtId="0" fontId="29" fillId="2" borderId="57" xfId="1" applyFont="1" applyFill="1" applyBorder="1" applyAlignment="1">
      <alignment horizontal="center"/>
    </xf>
    <xf numFmtId="10" fontId="0" fillId="2" borderId="0" xfId="4" applyNumberFormat="1" applyFont="1" applyFill="1"/>
  </cellXfs>
  <cellStyles count="5">
    <cellStyle name="Normal" xfId="0" builtinId="0"/>
    <cellStyle name="Normal 2" xfId="1"/>
    <cellStyle name="Normal 3" xfId="2"/>
    <cellStyle name="Normal 4" xfId="3"/>
    <cellStyle name="Percent" xfId="4" builtinId="5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F47" sqref="F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3" t="s">
        <v>14</v>
      </c>
      <c r="B11" s="524"/>
      <c r="C11" s="524"/>
      <c r="D11" s="524"/>
      <c r="E11" s="524"/>
      <c r="F11" s="525"/>
      <c r="G11" s="41"/>
    </row>
    <row r="12" spans="1:7" ht="16.5" customHeight="1" x14ac:dyDescent="0.3">
      <c r="A12" s="522" t="s">
        <v>15</v>
      </c>
      <c r="B12" s="522"/>
      <c r="C12" s="522"/>
      <c r="D12" s="522"/>
      <c r="E12" s="522"/>
      <c r="F12" s="522"/>
      <c r="G12" s="40"/>
    </row>
    <row r="14" spans="1:7" ht="16.5" customHeight="1" x14ac:dyDescent="0.3">
      <c r="A14" s="527" t="s">
        <v>16</v>
      </c>
      <c r="B14" s="527"/>
      <c r="C14" s="10" t="s">
        <v>2</v>
      </c>
    </row>
    <row r="15" spans="1:7" ht="16.5" customHeight="1" x14ac:dyDescent="0.3">
      <c r="A15" s="527" t="s">
        <v>17</v>
      </c>
      <c r="B15" s="527"/>
      <c r="C15" s="10" t="s">
        <v>4</v>
      </c>
    </row>
    <row r="16" spans="1:7" ht="16.5" customHeight="1" x14ac:dyDescent="0.3">
      <c r="A16" s="527" t="s">
        <v>18</v>
      </c>
      <c r="B16" s="527"/>
      <c r="C16" s="10" t="s">
        <v>5</v>
      </c>
    </row>
    <row r="17" spans="1:5" ht="16.5" customHeight="1" x14ac:dyDescent="0.3">
      <c r="A17" s="527" t="s">
        <v>19</v>
      </c>
      <c r="B17" s="527"/>
      <c r="C17" s="10" t="s">
        <v>6</v>
      </c>
    </row>
    <row r="18" spans="1:5" ht="16.5" customHeight="1" x14ac:dyDescent="0.3">
      <c r="A18" s="527" t="s">
        <v>20</v>
      </c>
      <c r="B18" s="527"/>
      <c r="C18" s="47" t="s">
        <v>7</v>
      </c>
    </row>
    <row r="19" spans="1:5" ht="16.5" customHeight="1" x14ac:dyDescent="0.3">
      <c r="A19" s="527" t="s">
        <v>21</v>
      </c>
      <c r="B19" s="52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22" t="s">
        <v>0</v>
      </c>
      <c r="B21" s="522"/>
      <c r="C21" s="9" t="s">
        <v>22</v>
      </c>
      <c r="D21" s="16"/>
    </row>
    <row r="22" spans="1:5" ht="15.75" customHeight="1" x14ac:dyDescent="0.3">
      <c r="A22" s="526"/>
      <c r="B22" s="526"/>
      <c r="C22" s="7"/>
      <c r="D22" s="526"/>
      <c r="E22" s="526"/>
    </row>
    <row r="23" spans="1:5" ht="33.75" customHeight="1" x14ac:dyDescent="0.3">
      <c r="C23" s="36" t="s">
        <v>23</v>
      </c>
      <c r="D23" s="35" t="s">
        <v>24</v>
      </c>
      <c r="E23" s="2"/>
    </row>
    <row r="24" spans="1:5" ht="15.75" customHeight="1" x14ac:dyDescent="0.3">
      <c r="C24" s="45">
        <v>479.13</v>
      </c>
      <c r="D24" s="37">
        <f t="shared" ref="D24:D43" si="0">(C24-$C$46)/$C$46</f>
        <v>-3.2235616455455729E-3</v>
      </c>
      <c r="E24" s="3"/>
    </row>
    <row r="25" spans="1:5" ht="15.75" customHeight="1" x14ac:dyDescent="0.3">
      <c r="C25" s="45">
        <v>478.88</v>
      </c>
      <c r="D25" s="38">
        <f t="shared" si="0"/>
        <v>-3.7436587164628886E-3</v>
      </c>
      <c r="E25" s="3"/>
    </row>
    <row r="26" spans="1:5" ht="15.75" customHeight="1" x14ac:dyDescent="0.3">
      <c r="C26" s="45">
        <v>483.14</v>
      </c>
      <c r="D26" s="38">
        <f t="shared" si="0"/>
        <v>5.1187953719681566E-3</v>
      </c>
      <c r="E26" s="3"/>
    </row>
    <row r="27" spans="1:5" ht="15.75" customHeight="1" x14ac:dyDescent="0.3">
      <c r="C27" s="45">
        <v>478</v>
      </c>
      <c r="D27" s="38">
        <f t="shared" si="0"/>
        <v>-5.5744004060918314E-3</v>
      </c>
      <c r="E27" s="3"/>
    </row>
    <row r="28" spans="1:5" ht="15.75" customHeight="1" x14ac:dyDescent="0.3">
      <c r="C28" s="45">
        <v>478.75</v>
      </c>
      <c r="D28" s="38">
        <f t="shared" si="0"/>
        <v>-4.0141091933398832E-3</v>
      </c>
      <c r="E28" s="3"/>
    </row>
    <row r="29" spans="1:5" ht="15.75" customHeight="1" x14ac:dyDescent="0.3">
      <c r="C29" s="45">
        <v>479.08</v>
      </c>
      <c r="D29" s="38">
        <f t="shared" si="0"/>
        <v>-3.3275810597290594E-3</v>
      </c>
      <c r="E29" s="3"/>
    </row>
    <row r="30" spans="1:5" ht="15.75" customHeight="1" x14ac:dyDescent="0.3">
      <c r="C30" s="45">
        <v>481.12</v>
      </c>
      <c r="D30" s="38">
        <f t="shared" si="0"/>
        <v>9.1641103895628146E-4</v>
      </c>
      <c r="E30" s="3"/>
    </row>
    <row r="31" spans="1:5" ht="15.75" customHeight="1" x14ac:dyDescent="0.3">
      <c r="C31" s="45">
        <v>479.56</v>
      </c>
      <c r="D31" s="38">
        <f t="shared" si="0"/>
        <v>-2.3289946835677749E-3</v>
      </c>
      <c r="E31" s="3"/>
    </row>
    <row r="32" spans="1:5" ht="15.75" customHeight="1" x14ac:dyDescent="0.3">
      <c r="C32" s="45">
        <v>485.72</v>
      </c>
      <c r="D32" s="38">
        <f t="shared" si="0"/>
        <v>1.0486197143834943E-2</v>
      </c>
      <c r="E32" s="3"/>
    </row>
    <row r="33" spans="1:7" ht="15.75" customHeight="1" x14ac:dyDescent="0.3">
      <c r="C33" s="45">
        <v>478.08</v>
      </c>
      <c r="D33" s="38">
        <f t="shared" si="0"/>
        <v>-5.4079693433983231E-3</v>
      </c>
      <c r="E33" s="3"/>
    </row>
    <row r="34" spans="1:7" ht="15.75" customHeight="1" x14ac:dyDescent="0.3">
      <c r="C34" s="45">
        <v>477.12</v>
      </c>
      <c r="D34" s="38">
        <f t="shared" si="0"/>
        <v>-7.4051420957207742E-3</v>
      </c>
      <c r="E34" s="3"/>
    </row>
    <row r="35" spans="1:7" ht="15.75" customHeight="1" x14ac:dyDescent="0.3">
      <c r="C35" s="45">
        <v>480.68</v>
      </c>
      <c r="D35" s="38">
        <f t="shared" si="0"/>
        <v>1.0401941418100346E-6</v>
      </c>
      <c r="E35" s="3"/>
    </row>
    <row r="36" spans="1:7" ht="15.75" customHeight="1" x14ac:dyDescent="0.3">
      <c r="C36" s="45">
        <v>484.74</v>
      </c>
      <c r="D36" s="38">
        <f t="shared" si="0"/>
        <v>8.4474166258390257E-3</v>
      </c>
      <c r="E36" s="3"/>
    </row>
    <row r="37" spans="1:7" ht="15.75" customHeight="1" x14ac:dyDescent="0.3">
      <c r="C37" s="45">
        <v>482.64</v>
      </c>
      <c r="D37" s="38">
        <f t="shared" si="0"/>
        <v>4.0786012301335245E-3</v>
      </c>
      <c r="E37" s="3"/>
    </row>
    <row r="38" spans="1:7" ht="15.75" customHeight="1" x14ac:dyDescent="0.3">
      <c r="C38" s="45">
        <v>482.23</v>
      </c>
      <c r="D38" s="38">
        <f t="shared" si="0"/>
        <v>3.2256420338291928E-3</v>
      </c>
      <c r="E38" s="3"/>
    </row>
    <row r="39" spans="1:7" ht="15.75" customHeight="1" x14ac:dyDescent="0.3">
      <c r="C39" s="45">
        <v>481.73</v>
      </c>
      <c r="D39" s="38">
        <f t="shared" si="0"/>
        <v>2.1854478919945608E-3</v>
      </c>
      <c r="E39" s="3"/>
    </row>
    <row r="40" spans="1:7" ht="15.75" customHeight="1" x14ac:dyDescent="0.3">
      <c r="C40" s="45">
        <v>481.4</v>
      </c>
      <c r="D40" s="38">
        <f t="shared" si="0"/>
        <v>1.4989197583836185E-3</v>
      </c>
      <c r="E40" s="3"/>
    </row>
    <row r="41" spans="1:7" ht="15.75" customHeight="1" x14ac:dyDescent="0.3">
      <c r="C41" s="45">
        <v>481.12</v>
      </c>
      <c r="D41" s="38">
        <f t="shared" si="0"/>
        <v>9.1641103895628146E-4</v>
      </c>
      <c r="E41" s="3"/>
    </row>
    <row r="42" spans="1:7" ht="15.75" customHeight="1" x14ac:dyDescent="0.3">
      <c r="C42" s="45">
        <v>478.59</v>
      </c>
      <c r="D42" s="38">
        <f t="shared" si="0"/>
        <v>-4.3469713187270177E-3</v>
      </c>
      <c r="E42" s="3"/>
    </row>
    <row r="43" spans="1:7" ht="16.5" customHeight="1" x14ac:dyDescent="0.3">
      <c r="C43" s="46">
        <v>481.88</v>
      </c>
      <c r="D43" s="39">
        <f t="shared" si="0"/>
        <v>2.497506134544903E-3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25</v>
      </c>
      <c r="C45" s="33">
        <f>SUM(C24:C44)</f>
        <v>9613.59</v>
      </c>
      <c r="D45" s="28"/>
      <c r="E45" s="4"/>
    </row>
    <row r="46" spans="1:7" ht="17.25" customHeight="1" x14ac:dyDescent="0.3">
      <c r="B46" s="32" t="s">
        <v>26</v>
      </c>
      <c r="C46" s="34">
        <f>AVERAGE(C24:C44)</f>
        <v>480.67950000000002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26</v>
      </c>
      <c r="C48" s="35" t="s">
        <v>27</v>
      </c>
      <c r="D48" s="30"/>
      <c r="G48" s="8"/>
    </row>
    <row r="49" spans="1:6" ht="17.25" customHeight="1" x14ac:dyDescent="0.3">
      <c r="B49" s="520">
        <f>C46</f>
        <v>480.67950000000002</v>
      </c>
      <c r="C49" s="43">
        <f>-IF(C46&lt;=80,10%,IF(C46&lt;250,7.5%,5%))</f>
        <v>-0.05</v>
      </c>
      <c r="D49" s="31">
        <f>IF(C46&lt;=80,C46*0.9,IF(C46&lt;250,C46*0.925,C46*0.95))</f>
        <v>456.64552500000002</v>
      </c>
    </row>
    <row r="50" spans="1:6" ht="17.25" customHeight="1" x14ac:dyDescent="0.3">
      <c r="B50" s="521"/>
      <c r="C50" s="44">
        <f>IF(C46&lt;=80, 10%, IF(C46&lt;250, 7.5%, 5%))</f>
        <v>0.05</v>
      </c>
      <c r="D50" s="31">
        <f>IF(C46&lt;=80, C46*1.1, IF(C46&lt;250, C46*1.075, C46*1.05))</f>
        <v>504.71347500000002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9</v>
      </c>
      <c r="C52" s="17"/>
      <c r="D52" s="18" t="s">
        <v>10</v>
      </c>
      <c r="E52" s="19"/>
      <c r="F52" s="18" t="s">
        <v>11</v>
      </c>
    </row>
    <row r="53" spans="1:6" ht="34.5" customHeight="1" x14ac:dyDescent="0.3">
      <c r="A53" s="20" t="s">
        <v>12</v>
      </c>
      <c r="B53" s="21"/>
      <c r="C53" s="22"/>
      <c r="D53" s="21"/>
      <c r="E53" s="11"/>
      <c r="F53" s="23"/>
    </row>
    <row r="54" spans="1:6" ht="34.5" customHeight="1" x14ac:dyDescent="0.3">
      <c r="A54" s="20" t="s">
        <v>13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F30" sqref="F30"/>
    </sheetView>
  </sheetViews>
  <sheetFormatPr defaultRowHeight="13.5" x14ac:dyDescent="0.25"/>
  <cols>
    <col min="1" max="1" width="27.5703125" style="381" customWidth="1"/>
    <col min="2" max="2" width="20.42578125" style="381" customWidth="1"/>
    <col min="3" max="3" width="31.85546875" style="381" customWidth="1"/>
    <col min="4" max="4" width="25.85546875" style="381" customWidth="1"/>
    <col min="5" max="5" width="25.7109375" style="381" customWidth="1"/>
    <col min="6" max="6" width="23.140625" style="381" customWidth="1"/>
    <col min="7" max="7" width="28.42578125" style="381" customWidth="1"/>
    <col min="8" max="8" width="21.5703125" style="381" customWidth="1"/>
    <col min="9" max="9" width="9.140625" style="381" customWidth="1"/>
    <col min="10" max="16384" width="9.140625" style="417"/>
  </cols>
  <sheetData>
    <row r="14" spans="1:6" ht="15" customHeight="1" x14ac:dyDescent="0.3">
      <c r="A14" s="380"/>
      <c r="C14" s="382"/>
      <c r="F14" s="382"/>
    </row>
    <row r="15" spans="1:6" ht="18.75" customHeight="1" x14ac:dyDescent="0.3">
      <c r="A15" s="475" t="s">
        <v>125</v>
      </c>
      <c r="B15" s="475"/>
      <c r="C15" s="475"/>
      <c r="D15" s="475"/>
      <c r="E15" s="475"/>
    </row>
    <row r="16" spans="1:6" ht="16.5" customHeight="1" x14ac:dyDescent="0.3">
      <c r="A16" s="383" t="s">
        <v>0</v>
      </c>
      <c r="B16" s="384" t="s">
        <v>126</v>
      </c>
    </row>
    <row r="17" spans="1:6" ht="16.5" customHeight="1" x14ac:dyDescent="0.3">
      <c r="A17" s="385" t="s">
        <v>127</v>
      </c>
      <c r="B17" s="385" t="s">
        <v>114</v>
      </c>
      <c r="D17" s="386"/>
      <c r="E17" s="387"/>
    </row>
    <row r="18" spans="1:6" ht="16.5" customHeight="1" x14ac:dyDescent="0.3">
      <c r="A18" s="388" t="s">
        <v>1</v>
      </c>
      <c r="B18" s="381" t="s">
        <v>119</v>
      </c>
      <c r="C18" s="387"/>
      <c r="D18" s="387"/>
      <c r="E18" s="387"/>
    </row>
    <row r="19" spans="1:6" ht="16.5" customHeight="1" x14ac:dyDescent="0.3">
      <c r="A19" s="388" t="s">
        <v>3</v>
      </c>
      <c r="B19" s="389">
        <v>98.5</v>
      </c>
      <c r="C19" s="387"/>
      <c r="D19" s="387"/>
      <c r="E19" s="387"/>
    </row>
    <row r="20" spans="1:6" ht="16.5" customHeight="1" x14ac:dyDescent="0.3">
      <c r="A20" s="385" t="s">
        <v>128</v>
      </c>
      <c r="B20" s="389">
        <v>21.95</v>
      </c>
      <c r="C20" s="387"/>
      <c r="D20" s="387"/>
      <c r="E20" s="387"/>
    </row>
    <row r="21" spans="1:6" ht="16.5" customHeight="1" x14ac:dyDescent="0.3">
      <c r="A21" s="385" t="s">
        <v>129</v>
      </c>
      <c r="B21" s="390">
        <f>B20/25*10/50</f>
        <v>0.17559999999999998</v>
      </c>
      <c r="C21" s="387"/>
      <c r="D21" s="387"/>
      <c r="E21" s="387"/>
    </row>
    <row r="22" spans="1:6" ht="15.75" customHeight="1" x14ac:dyDescent="0.25">
      <c r="A22" s="387"/>
      <c r="B22" s="387" t="s">
        <v>118</v>
      </c>
      <c r="C22" s="387"/>
      <c r="D22" s="387"/>
      <c r="E22" s="387"/>
    </row>
    <row r="23" spans="1:6" ht="16.5" customHeight="1" x14ac:dyDescent="0.3">
      <c r="A23" s="391" t="s">
        <v>130</v>
      </c>
      <c r="B23" s="392" t="s">
        <v>131</v>
      </c>
      <c r="C23" s="391" t="s">
        <v>132</v>
      </c>
      <c r="D23" s="391" t="s">
        <v>133</v>
      </c>
      <c r="E23" s="391" t="s">
        <v>134</v>
      </c>
      <c r="F23" s="569" t="s">
        <v>145</v>
      </c>
    </row>
    <row r="24" spans="1:6" ht="16.5" customHeight="1" x14ac:dyDescent="0.3">
      <c r="A24" s="393">
        <v>1</v>
      </c>
      <c r="B24" s="394">
        <v>66111701</v>
      </c>
      <c r="C24" s="394">
        <v>86969.8</v>
      </c>
      <c r="D24" s="395">
        <v>0.8</v>
      </c>
      <c r="E24" s="396">
        <v>12.4</v>
      </c>
      <c r="F24" s="472">
        <v>30.7</v>
      </c>
    </row>
    <row r="25" spans="1:6" ht="16.5" customHeight="1" x14ac:dyDescent="0.3">
      <c r="A25" s="393">
        <v>2</v>
      </c>
      <c r="B25" s="394">
        <v>66720245</v>
      </c>
      <c r="C25" s="394">
        <v>86806.2</v>
      </c>
      <c r="D25" s="395">
        <v>0.8</v>
      </c>
      <c r="E25" s="395">
        <v>12.4</v>
      </c>
      <c r="F25" s="472">
        <v>31</v>
      </c>
    </row>
    <row r="26" spans="1:6" ht="16.5" customHeight="1" x14ac:dyDescent="0.3">
      <c r="A26" s="393">
        <v>3</v>
      </c>
      <c r="B26" s="394">
        <v>66843085</v>
      </c>
      <c r="C26" s="394">
        <v>87914.8</v>
      </c>
      <c r="D26" s="395">
        <v>0.8</v>
      </c>
      <c r="E26" s="395">
        <v>12.4</v>
      </c>
      <c r="F26" s="472">
        <v>31.1</v>
      </c>
    </row>
    <row r="27" spans="1:6" ht="16.5" customHeight="1" x14ac:dyDescent="0.3">
      <c r="A27" s="393">
        <v>4</v>
      </c>
      <c r="B27" s="394">
        <v>66951931</v>
      </c>
      <c r="C27" s="394">
        <v>88250.4</v>
      </c>
      <c r="D27" s="395">
        <v>0.8</v>
      </c>
      <c r="E27" s="395">
        <v>12.4</v>
      </c>
      <c r="F27" s="472">
        <v>31.2</v>
      </c>
    </row>
    <row r="28" spans="1:6" ht="16.5" customHeight="1" x14ac:dyDescent="0.3">
      <c r="A28" s="393">
        <v>5</v>
      </c>
      <c r="B28" s="394">
        <v>66836721</v>
      </c>
      <c r="C28" s="394">
        <v>88366.5</v>
      </c>
      <c r="D28" s="395">
        <v>0.8</v>
      </c>
      <c r="E28" s="395">
        <v>12.4</v>
      </c>
      <c r="F28" s="472">
        <v>31.2</v>
      </c>
    </row>
    <row r="29" spans="1:6" ht="16.5" customHeight="1" x14ac:dyDescent="0.3">
      <c r="A29" s="393">
        <v>6</v>
      </c>
      <c r="B29" s="397">
        <v>66644174</v>
      </c>
      <c r="C29" s="397">
        <v>88120.1</v>
      </c>
      <c r="D29" s="398">
        <v>0.8</v>
      </c>
      <c r="E29" s="398">
        <v>12.4</v>
      </c>
      <c r="F29" s="472">
        <v>31.2</v>
      </c>
    </row>
    <row r="30" spans="1:6" ht="16.5" customHeight="1" x14ac:dyDescent="0.3">
      <c r="A30" s="399" t="s">
        <v>135</v>
      </c>
      <c r="B30" s="400">
        <f>AVERAGE(B24:B29)</f>
        <v>66684642.833333336</v>
      </c>
      <c r="C30" s="401">
        <f>AVERAGE(C24:C29)</f>
        <v>87737.96666666666</v>
      </c>
      <c r="D30" s="402">
        <f>AVERAGE(D24:D29)</f>
        <v>0.79999999999999993</v>
      </c>
      <c r="E30" s="402">
        <f>AVERAGE(E24:E29)</f>
        <v>12.4</v>
      </c>
      <c r="F30" s="402">
        <f>AVERAGE(F24:F29)</f>
        <v>31.066666666666666</v>
      </c>
    </row>
    <row r="31" spans="1:6" ht="16.5" customHeight="1" x14ac:dyDescent="0.3">
      <c r="A31" s="403" t="s">
        <v>136</v>
      </c>
      <c r="B31" s="404">
        <f>(STDEV(B24:B29)/B30)</f>
        <v>4.5029950231519986E-3</v>
      </c>
      <c r="C31" s="405"/>
      <c r="D31" s="405"/>
      <c r="E31" s="406"/>
      <c r="F31" s="469"/>
    </row>
    <row r="32" spans="1:6" s="381" customFormat="1" ht="16.5" customHeight="1" x14ac:dyDescent="0.3">
      <c r="A32" s="407" t="s">
        <v>8</v>
      </c>
      <c r="B32" s="408">
        <f>COUNT(B24:B29)</f>
        <v>6</v>
      </c>
      <c r="C32" s="409"/>
      <c r="D32" s="410"/>
      <c r="E32" s="411"/>
      <c r="F32" s="470"/>
    </row>
    <row r="33" spans="1:5" s="381" customFormat="1" ht="15.75" customHeight="1" x14ac:dyDescent="0.25">
      <c r="A33" s="387"/>
      <c r="B33" s="387"/>
      <c r="C33" s="387"/>
      <c r="D33" s="387"/>
      <c r="E33" s="387"/>
    </row>
    <row r="34" spans="1:5" s="381" customFormat="1" ht="16.5" customHeight="1" x14ac:dyDescent="0.3">
      <c r="A34" s="388" t="s">
        <v>137</v>
      </c>
      <c r="B34" s="412" t="s">
        <v>138</v>
      </c>
      <c r="C34" s="413"/>
      <c r="D34" s="413"/>
      <c r="E34" s="413"/>
    </row>
    <row r="35" spans="1:5" ht="16.5" customHeight="1" x14ac:dyDescent="0.3">
      <c r="A35" s="388"/>
      <c r="B35" s="412" t="s">
        <v>139</v>
      </c>
      <c r="C35" s="413"/>
      <c r="D35" s="413"/>
      <c r="E35" s="413"/>
    </row>
    <row r="36" spans="1:5" ht="16.5" customHeight="1" x14ac:dyDescent="0.3">
      <c r="A36" s="388"/>
      <c r="B36" s="412" t="s">
        <v>140</v>
      </c>
      <c r="C36" s="413"/>
      <c r="D36" s="413"/>
      <c r="E36" s="413"/>
    </row>
    <row r="37" spans="1:5" ht="15.75" customHeight="1" x14ac:dyDescent="0.25">
      <c r="A37" s="387"/>
      <c r="B37" s="387"/>
      <c r="C37" s="387"/>
      <c r="D37" s="387"/>
      <c r="E37" s="387"/>
    </row>
    <row r="38" spans="1:5" ht="16.5" customHeight="1" x14ac:dyDescent="0.3">
      <c r="A38" s="383" t="s">
        <v>0</v>
      </c>
      <c r="B38" s="384" t="s">
        <v>141</v>
      </c>
    </row>
    <row r="39" spans="1:5" ht="16.5" customHeight="1" x14ac:dyDescent="0.3">
      <c r="A39" s="388" t="s">
        <v>1</v>
      </c>
      <c r="B39" s="385"/>
      <c r="C39" s="387"/>
      <c r="D39" s="387"/>
      <c r="E39" s="387"/>
    </row>
    <row r="40" spans="1:5" ht="16.5" customHeight="1" x14ac:dyDescent="0.3">
      <c r="A40" s="388" t="s">
        <v>3</v>
      </c>
      <c r="B40" s="389"/>
      <c r="C40" s="387"/>
      <c r="D40" s="387"/>
      <c r="E40" s="387"/>
    </row>
    <row r="41" spans="1:5" ht="16.5" customHeight="1" x14ac:dyDescent="0.3">
      <c r="A41" s="385" t="s">
        <v>128</v>
      </c>
      <c r="B41" s="389"/>
      <c r="C41" s="387"/>
      <c r="D41" s="387"/>
      <c r="E41" s="387"/>
    </row>
    <row r="42" spans="1:5" ht="16.5" customHeight="1" x14ac:dyDescent="0.3">
      <c r="A42" s="385" t="s">
        <v>129</v>
      </c>
      <c r="B42" s="390"/>
      <c r="C42" s="387"/>
      <c r="D42" s="387"/>
      <c r="E42" s="387"/>
    </row>
    <row r="43" spans="1:5" ht="15.75" customHeight="1" x14ac:dyDescent="0.25">
      <c r="A43" s="387"/>
      <c r="B43" s="387"/>
      <c r="C43" s="387"/>
      <c r="D43" s="387"/>
      <c r="E43" s="387"/>
    </row>
    <row r="44" spans="1:5" ht="16.5" customHeight="1" x14ac:dyDescent="0.3">
      <c r="A44" s="391" t="s">
        <v>130</v>
      </c>
      <c r="B44" s="392" t="s">
        <v>131</v>
      </c>
      <c r="C44" s="391" t="s">
        <v>132</v>
      </c>
      <c r="D44" s="391" t="s">
        <v>133</v>
      </c>
      <c r="E44" s="391" t="s">
        <v>134</v>
      </c>
    </row>
    <row r="45" spans="1:5" ht="16.5" customHeight="1" x14ac:dyDescent="0.3">
      <c r="A45" s="393">
        <v>1</v>
      </c>
      <c r="B45" s="394"/>
      <c r="C45" s="394"/>
      <c r="D45" s="395"/>
      <c r="E45" s="396"/>
    </row>
    <row r="46" spans="1:5" ht="16.5" customHeight="1" x14ac:dyDescent="0.3">
      <c r="A46" s="393">
        <v>2</v>
      </c>
      <c r="B46" s="394"/>
      <c r="C46" s="394"/>
      <c r="D46" s="395"/>
      <c r="E46" s="395"/>
    </row>
    <row r="47" spans="1:5" ht="16.5" customHeight="1" x14ac:dyDescent="0.3">
      <c r="A47" s="393">
        <v>3</v>
      </c>
      <c r="B47" s="394"/>
      <c r="C47" s="394"/>
      <c r="D47" s="395"/>
      <c r="E47" s="395"/>
    </row>
    <row r="48" spans="1:5" ht="16.5" customHeight="1" x14ac:dyDescent="0.3">
      <c r="A48" s="393">
        <v>4</v>
      </c>
      <c r="B48" s="394"/>
      <c r="C48" s="394"/>
      <c r="D48" s="395"/>
      <c r="E48" s="395"/>
    </row>
    <row r="49" spans="1:7" ht="16.5" customHeight="1" x14ac:dyDescent="0.3">
      <c r="A49" s="393">
        <v>5</v>
      </c>
      <c r="B49" s="394"/>
      <c r="C49" s="394"/>
      <c r="D49" s="395"/>
      <c r="E49" s="395"/>
    </row>
    <row r="50" spans="1:7" ht="16.5" customHeight="1" x14ac:dyDescent="0.3">
      <c r="A50" s="393">
        <v>6</v>
      </c>
      <c r="B50" s="397"/>
      <c r="C50" s="397"/>
      <c r="D50" s="398"/>
      <c r="E50" s="398"/>
    </row>
    <row r="51" spans="1:7" ht="16.5" customHeight="1" x14ac:dyDescent="0.3">
      <c r="A51" s="399" t="s">
        <v>135</v>
      </c>
      <c r="B51" s="400" t="e">
        <f>AVERAGE(B45:B50)</f>
        <v>#DIV/0!</v>
      </c>
      <c r="C51" s="401" t="e">
        <f>AVERAGE(C45:C50)</f>
        <v>#DIV/0!</v>
      </c>
      <c r="D51" s="402" t="e">
        <f>AVERAGE(D45:D50)</f>
        <v>#DIV/0!</v>
      </c>
      <c r="E51" s="402" t="e">
        <f>AVERAGE(E45:E50)</f>
        <v>#DIV/0!</v>
      </c>
    </row>
    <row r="52" spans="1:7" ht="16.5" customHeight="1" x14ac:dyDescent="0.3">
      <c r="A52" s="403" t="s">
        <v>136</v>
      </c>
      <c r="B52" s="404" t="e">
        <f>(STDEV(B45:B50)/B51)</f>
        <v>#DIV/0!</v>
      </c>
      <c r="C52" s="405"/>
      <c r="D52" s="405"/>
      <c r="E52" s="406"/>
    </row>
    <row r="53" spans="1:7" s="381" customFormat="1" ht="16.5" customHeight="1" x14ac:dyDescent="0.3">
      <c r="A53" s="407" t="s">
        <v>8</v>
      </c>
      <c r="B53" s="408">
        <f>COUNT(B45:B50)</f>
        <v>0</v>
      </c>
      <c r="C53" s="409"/>
      <c r="D53" s="410"/>
      <c r="E53" s="411"/>
    </row>
    <row r="54" spans="1:7" s="381" customFormat="1" ht="15.75" customHeight="1" x14ac:dyDescent="0.25">
      <c r="A54" s="387"/>
      <c r="B54" s="387"/>
      <c r="C54" s="387"/>
      <c r="D54" s="387"/>
      <c r="E54" s="387"/>
    </row>
    <row r="55" spans="1:7" s="381" customFormat="1" ht="16.5" customHeight="1" x14ac:dyDescent="0.3">
      <c r="A55" s="388" t="s">
        <v>137</v>
      </c>
      <c r="B55" s="412" t="s">
        <v>138</v>
      </c>
      <c r="C55" s="413"/>
      <c r="D55" s="413"/>
      <c r="E55" s="413"/>
    </row>
    <row r="56" spans="1:7" ht="16.5" customHeight="1" x14ac:dyDescent="0.3">
      <c r="A56" s="388"/>
      <c r="B56" s="412" t="s">
        <v>142</v>
      </c>
      <c r="C56" s="413"/>
      <c r="D56" s="413"/>
      <c r="E56" s="413"/>
    </row>
    <row r="57" spans="1:7" ht="16.5" customHeight="1" x14ac:dyDescent="0.3">
      <c r="A57" s="388"/>
      <c r="B57" s="412" t="s">
        <v>140</v>
      </c>
      <c r="C57" s="413"/>
      <c r="D57" s="413"/>
      <c r="E57" s="413"/>
    </row>
    <row r="58" spans="1:7" ht="14.25" customHeight="1" thickBot="1" x14ac:dyDescent="0.3">
      <c r="A58" s="414"/>
      <c r="B58" s="415"/>
      <c r="D58" s="416"/>
      <c r="F58" s="417"/>
      <c r="G58" s="417"/>
    </row>
    <row r="59" spans="1:7" ht="15" customHeight="1" x14ac:dyDescent="0.3">
      <c r="B59" s="476" t="s">
        <v>9</v>
      </c>
      <c r="C59" s="476"/>
      <c r="E59" s="418" t="s">
        <v>10</v>
      </c>
      <c r="F59" s="419"/>
      <c r="G59" s="418" t="s">
        <v>11</v>
      </c>
    </row>
    <row r="60" spans="1:7" ht="15" customHeight="1" x14ac:dyDescent="0.3">
      <c r="A60" s="420" t="s">
        <v>12</v>
      </c>
      <c r="B60" s="421"/>
      <c r="C60" s="421"/>
      <c r="E60" s="421"/>
      <c r="G60" s="421"/>
    </row>
    <row r="61" spans="1:7" ht="15" customHeight="1" x14ac:dyDescent="0.3">
      <c r="A61" s="420" t="s">
        <v>13</v>
      </c>
      <c r="B61" s="422"/>
      <c r="C61" s="422"/>
      <c r="E61" s="422"/>
      <c r="G61" s="42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46" zoomScale="55" zoomScaleNormal="40" zoomScaleSheetLayoutView="55" zoomScalePageLayoutView="40" workbookViewId="0">
      <selection activeCell="F61" sqref="F61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511" t="s">
        <v>28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29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thickBot="1" x14ac:dyDescent="0.35">
      <c r="A15" s="49"/>
    </row>
    <row r="16" spans="1:9" ht="19.5" customHeight="1" thickBot="1" x14ac:dyDescent="0.35">
      <c r="A16" s="513" t="s">
        <v>14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30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51" t="s">
        <v>16</v>
      </c>
      <c r="B18" s="517" t="s">
        <v>114</v>
      </c>
      <c r="C18" s="517"/>
      <c r="D18" s="52"/>
      <c r="E18" s="53"/>
      <c r="F18" s="54"/>
      <c r="G18" s="54"/>
      <c r="H18" s="54"/>
    </row>
    <row r="19" spans="1:14" ht="26.25" customHeight="1" x14ac:dyDescent="0.4">
      <c r="A19" s="51" t="s">
        <v>17</v>
      </c>
      <c r="B19" s="55" t="s">
        <v>115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18</v>
      </c>
      <c r="B20" s="518" t="s">
        <v>116</v>
      </c>
      <c r="C20" s="518"/>
      <c r="D20" s="54"/>
      <c r="E20" s="54"/>
      <c r="F20" s="54"/>
      <c r="G20" s="54"/>
      <c r="H20" s="54"/>
    </row>
    <row r="21" spans="1:14" ht="26.25" customHeight="1" x14ac:dyDescent="0.4">
      <c r="A21" s="51" t="s">
        <v>19</v>
      </c>
      <c r="B21" s="518" t="s">
        <v>117</v>
      </c>
      <c r="C21" s="518"/>
      <c r="D21" s="518"/>
      <c r="E21" s="518"/>
      <c r="F21" s="518"/>
      <c r="G21" s="518"/>
      <c r="H21" s="518"/>
      <c r="I21" s="56"/>
    </row>
    <row r="22" spans="1:14" ht="26.25" customHeight="1" x14ac:dyDescent="0.4">
      <c r="A22" s="51" t="s">
        <v>20</v>
      </c>
      <c r="B22" s="57" t="s">
        <v>118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21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517" t="s">
        <v>119</v>
      </c>
      <c r="C26" s="517"/>
    </row>
    <row r="27" spans="1:14" ht="26.25" customHeight="1" x14ac:dyDescent="0.4">
      <c r="A27" s="61" t="s">
        <v>31</v>
      </c>
      <c r="B27" s="519" t="s">
        <v>120</v>
      </c>
      <c r="C27" s="519"/>
    </row>
    <row r="28" spans="1:14" ht="27" customHeight="1" thickBot="1" x14ac:dyDescent="0.45">
      <c r="A28" s="61" t="s">
        <v>3</v>
      </c>
      <c r="B28" s="62">
        <v>98.5</v>
      </c>
    </row>
    <row r="29" spans="1:14" s="64" customFormat="1" ht="27" customHeight="1" thickBot="1" x14ac:dyDescent="0.45">
      <c r="A29" s="61" t="s">
        <v>32</v>
      </c>
      <c r="B29" s="63">
        <v>0</v>
      </c>
      <c r="C29" s="491" t="s">
        <v>33</v>
      </c>
      <c r="D29" s="492"/>
      <c r="E29" s="492"/>
      <c r="F29" s="492"/>
      <c r="G29" s="493"/>
      <c r="I29" s="65"/>
      <c r="J29" s="65"/>
      <c r="K29" s="65"/>
      <c r="L29" s="65"/>
    </row>
    <row r="30" spans="1:14" s="64" customFormat="1" ht="19.5" customHeight="1" thickBot="1" x14ac:dyDescent="0.35">
      <c r="A30" s="61" t="s">
        <v>34</v>
      </c>
      <c r="B30" s="66">
        <f>B28-B29</f>
        <v>98.5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35</v>
      </c>
      <c r="B31" s="69">
        <v>1</v>
      </c>
      <c r="C31" s="494" t="s">
        <v>36</v>
      </c>
      <c r="D31" s="495"/>
      <c r="E31" s="495"/>
      <c r="F31" s="495"/>
      <c r="G31" s="495"/>
      <c r="H31" s="496"/>
      <c r="I31" s="65"/>
      <c r="J31" s="65"/>
      <c r="K31" s="65"/>
      <c r="L31" s="65"/>
    </row>
    <row r="32" spans="1:14" s="64" customFormat="1" ht="27" customHeight="1" thickBot="1" x14ac:dyDescent="0.45">
      <c r="A32" s="61" t="s">
        <v>37</v>
      </c>
      <c r="B32" s="69">
        <v>1</v>
      </c>
      <c r="C32" s="494" t="s">
        <v>38</v>
      </c>
      <c r="D32" s="495"/>
      <c r="E32" s="495"/>
      <c r="F32" s="495"/>
      <c r="G32" s="495"/>
      <c r="H32" s="496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39</v>
      </c>
      <c r="B34" s="74">
        <f>B31/B32</f>
        <v>1</v>
      </c>
      <c r="C34" s="49" t="s">
        <v>40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41</v>
      </c>
      <c r="B36" s="76">
        <v>25</v>
      </c>
      <c r="C36" s="49"/>
      <c r="D36" s="497" t="s">
        <v>42</v>
      </c>
      <c r="E36" s="499"/>
      <c r="F36" s="497" t="s">
        <v>43</v>
      </c>
      <c r="G36" s="498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44</v>
      </c>
      <c r="B37" s="78">
        <v>10</v>
      </c>
      <c r="C37" s="79" t="s">
        <v>45</v>
      </c>
      <c r="D37" s="80" t="s">
        <v>46</v>
      </c>
      <c r="E37" s="81" t="s">
        <v>47</v>
      </c>
      <c r="F37" s="80" t="s">
        <v>46</v>
      </c>
      <c r="G37" s="82" t="s">
        <v>47</v>
      </c>
      <c r="I37" s="83" t="s">
        <v>48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49</v>
      </c>
      <c r="B38" s="78">
        <v>50</v>
      </c>
      <c r="C38" s="84">
        <v>1</v>
      </c>
      <c r="D38" s="85">
        <v>66322363</v>
      </c>
      <c r="E38" s="86">
        <f>IF(ISBLANK(D38),"-",$D$48/$D$45*D38)</f>
        <v>61350658.973439872</v>
      </c>
      <c r="F38" s="85">
        <v>62533645</v>
      </c>
      <c r="G38" s="87">
        <f>IF(ISBLANK(F38),"-",$D$48/$F$45*F38)</f>
        <v>60897778.427004576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50</v>
      </c>
      <c r="B39" s="78">
        <v>1</v>
      </c>
      <c r="C39" s="89">
        <v>2</v>
      </c>
      <c r="D39" s="90">
        <v>66155465</v>
      </c>
      <c r="E39" s="91">
        <f>IF(ISBLANK(D39),"-",$D$48/$D$45*D39)</f>
        <v>61196272.099719025</v>
      </c>
      <c r="F39" s="90">
        <v>62256272</v>
      </c>
      <c r="G39" s="92">
        <f>IF(ISBLANK(F39),"-",$D$48/$F$45*F39)</f>
        <v>60627661.444448493</v>
      </c>
      <c r="I39" s="479">
        <f>ABS((F43/D43*D42)-F42)/D42</f>
        <v>5.4566102382693467E-3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51</v>
      </c>
      <c r="B40" s="78">
        <v>1</v>
      </c>
      <c r="C40" s="89">
        <v>3</v>
      </c>
      <c r="D40" s="90">
        <v>66025927</v>
      </c>
      <c r="E40" s="91">
        <f>IF(ISBLANK(D40),"-",$D$48/$D$45*D40)</f>
        <v>61076444.619173713</v>
      </c>
      <c r="F40" s="90">
        <v>62682884</v>
      </c>
      <c r="G40" s="92">
        <f>IF(ISBLANK(F40),"-",$D$48/$F$45*F40)</f>
        <v>61043113.367174268</v>
      </c>
      <c r="I40" s="479"/>
      <c r="L40" s="70"/>
      <c r="M40" s="70"/>
      <c r="N40" s="49"/>
    </row>
    <row r="41" spans="1:14" ht="27" customHeight="1" thickBot="1" x14ac:dyDescent="0.45">
      <c r="A41" s="77" t="s">
        <v>52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53</v>
      </c>
      <c r="B42" s="78">
        <v>1</v>
      </c>
      <c r="C42" s="98" t="s">
        <v>54</v>
      </c>
      <c r="D42" s="99">
        <f>AVERAGE(D38:D41)</f>
        <v>66167918.333333336</v>
      </c>
      <c r="E42" s="100">
        <f>AVERAGE(E38:E41)</f>
        <v>61207791.897444196</v>
      </c>
      <c r="F42" s="99">
        <f>AVERAGE(F38:F41)</f>
        <v>62490933.666666664</v>
      </c>
      <c r="G42" s="101">
        <f>AVERAGE(G38:G41)</f>
        <v>60856184.412875779</v>
      </c>
      <c r="H42" s="102"/>
    </row>
    <row r="43" spans="1:14" ht="26.25" customHeight="1" x14ac:dyDescent="0.4">
      <c r="A43" s="77" t="s">
        <v>55</v>
      </c>
      <c r="B43" s="78">
        <v>1</v>
      </c>
      <c r="C43" s="103" t="s">
        <v>56</v>
      </c>
      <c r="D43" s="104">
        <v>21.95</v>
      </c>
      <c r="E43" s="49"/>
      <c r="F43" s="104">
        <v>20.85</v>
      </c>
      <c r="H43" s="102"/>
    </row>
    <row r="44" spans="1:14" ht="26.25" customHeight="1" x14ac:dyDescent="0.4">
      <c r="A44" s="77" t="s">
        <v>57</v>
      </c>
      <c r="B44" s="78">
        <v>1</v>
      </c>
      <c r="C44" s="105" t="s">
        <v>58</v>
      </c>
      <c r="D44" s="106">
        <f>D43*$B$34</f>
        <v>21.95</v>
      </c>
      <c r="E44" s="107"/>
      <c r="F44" s="106">
        <f>F43*$B$34</f>
        <v>20.85</v>
      </c>
      <c r="H44" s="102"/>
    </row>
    <row r="45" spans="1:14" ht="19.5" customHeight="1" thickBot="1" x14ac:dyDescent="0.35">
      <c r="A45" s="77" t="s">
        <v>59</v>
      </c>
      <c r="B45" s="89">
        <f>(B44/B43)*(B42/B41)*(B40/B39)*(B38/B37)*B36</f>
        <v>125</v>
      </c>
      <c r="C45" s="105" t="s">
        <v>60</v>
      </c>
      <c r="D45" s="108">
        <f>D44*$B$30/100</f>
        <v>21.620749999999997</v>
      </c>
      <c r="E45" s="109"/>
      <c r="F45" s="108">
        <f>F44*$B$30/100</f>
        <v>20.537250000000004</v>
      </c>
      <c r="H45" s="102"/>
    </row>
    <row r="46" spans="1:14" ht="19.5" customHeight="1" thickBot="1" x14ac:dyDescent="0.35">
      <c r="A46" s="480" t="s">
        <v>61</v>
      </c>
      <c r="B46" s="484"/>
      <c r="C46" s="105" t="s">
        <v>62</v>
      </c>
      <c r="D46" s="110">
        <f>D45/$B$45</f>
        <v>0.17296599999999998</v>
      </c>
      <c r="E46" s="111"/>
      <c r="F46" s="112">
        <f>F45/$B$45</f>
        <v>0.16429800000000003</v>
      </c>
      <c r="H46" s="102"/>
    </row>
    <row r="47" spans="1:14" ht="27" customHeight="1" thickBot="1" x14ac:dyDescent="0.45">
      <c r="A47" s="482"/>
      <c r="B47" s="485"/>
      <c r="C47" s="113" t="s">
        <v>63</v>
      </c>
      <c r="D47" s="114">
        <v>0.16</v>
      </c>
      <c r="E47" s="115"/>
      <c r="F47" s="111"/>
      <c r="H47" s="102"/>
    </row>
    <row r="48" spans="1:14" ht="18.75" x14ac:dyDescent="0.3">
      <c r="C48" s="116" t="s">
        <v>64</v>
      </c>
      <c r="D48" s="108">
        <f>D47*$B$45</f>
        <v>20</v>
      </c>
      <c r="F48" s="117"/>
      <c r="H48" s="102"/>
    </row>
    <row r="49" spans="1:12" ht="19.5" customHeight="1" thickBot="1" x14ac:dyDescent="0.35">
      <c r="C49" s="118" t="s">
        <v>65</v>
      </c>
      <c r="D49" s="119">
        <f>D48/B34</f>
        <v>20</v>
      </c>
      <c r="F49" s="117"/>
      <c r="H49" s="102"/>
    </row>
    <row r="50" spans="1:12" ht="18.75" x14ac:dyDescent="0.3">
      <c r="C50" s="75" t="s">
        <v>66</v>
      </c>
      <c r="D50" s="120">
        <f>AVERAGE(E38:E41,G38:G41)</f>
        <v>61031988.155159988</v>
      </c>
      <c r="F50" s="121"/>
      <c r="H50" s="102"/>
    </row>
    <row r="51" spans="1:12" ht="18.75" x14ac:dyDescent="0.3">
      <c r="C51" s="77" t="s">
        <v>67</v>
      </c>
      <c r="D51" s="122">
        <f>STDEV(E38:E41,G38:G41)/D50</f>
        <v>4.0938052550401199E-3</v>
      </c>
      <c r="F51" s="121"/>
      <c r="H51" s="102"/>
    </row>
    <row r="52" spans="1:12" ht="19.5" customHeight="1" thickBot="1" x14ac:dyDescent="0.35">
      <c r="C52" s="123" t="s">
        <v>8</v>
      </c>
      <c r="D52" s="124">
        <f>COUNT(E38:E41,G38:G41)</f>
        <v>6</v>
      </c>
      <c r="F52" s="121"/>
    </row>
    <row r="54" spans="1:12" ht="18.75" x14ac:dyDescent="0.3">
      <c r="A54" s="125" t="s">
        <v>0</v>
      </c>
      <c r="B54" s="126" t="s">
        <v>68</v>
      </c>
    </row>
    <row r="55" spans="1:12" ht="18.75" x14ac:dyDescent="0.3">
      <c r="A55" s="49" t="s">
        <v>69</v>
      </c>
      <c r="B55" s="127" t="str">
        <f>B21</f>
        <v>Each  dispersible tablet contains: Rifampicin BP 75 mg and Isoniazid BP 50 mg.</v>
      </c>
    </row>
    <row r="56" spans="1:12" ht="26.25" customHeight="1" x14ac:dyDescent="0.4">
      <c r="A56" s="127" t="s">
        <v>70</v>
      </c>
      <c r="B56" s="128">
        <v>75</v>
      </c>
      <c r="C56" s="49" t="str">
        <f>B20</f>
        <v xml:space="preserve">RIFAMPICIN 75 mg </v>
      </c>
      <c r="H56" s="107"/>
    </row>
    <row r="57" spans="1:12" ht="18.75" x14ac:dyDescent="0.3">
      <c r="A57" s="127" t="s">
        <v>71</v>
      </c>
      <c r="B57" s="129">
        <f>Uniformity!C46</f>
        <v>480.67950000000002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72</v>
      </c>
      <c r="B59" s="76">
        <v>50</v>
      </c>
      <c r="C59" s="49"/>
      <c r="D59" s="130" t="s">
        <v>73</v>
      </c>
      <c r="E59" s="131" t="s">
        <v>45</v>
      </c>
      <c r="F59" s="131" t="s">
        <v>46</v>
      </c>
      <c r="G59" s="131" t="s">
        <v>74</v>
      </c>
      <c r="H59" s="79" t="s">
        <v>75</v>
      </c>
      <c r="L59" s="65"/>
    </row>
    <row r="60" spans="1:12" s="64" customFormat="1" ht="26.25" customHeight="1" x14ac:dyDescent="0.4">
      <c r="A60" s="77" t="s">
        <v>76</v>
      </c>
      <c r="B60" s="78">
        <v>5</v>
      </c>
      <c r="C60" s="500" t="s">
        <v>77</v>
      </c>
      <c r="D60" s="503">
        <v>461.28</v>
      </c>
      <c r="E60" s="132">
        <v>1</v>
      </c>
      <c r="F60" s="133"/>
      <c r="G60" s="134" t="str">
        <f>IF(ISBLANK(F60),"-",(F60/$D$50*$D$47*$B$68)*($B$57/$D$60))</f>
        <v>-</v>
      </c>
      <c r="H60" s="135" t="str">
        <f t="shared" ref="H60:H71" si="0">IF(ISBLANK(F60),"-",(G60/$B$56)*100)</f>
        <v>-</v>
      </c>
      <c r="L60" s="65"/>
    </row>
    <row r="61" spans="1:12" s="64" customFormat="1" ht="26.25" customHeight="1" x14ac:dyDescent="0.4">
      <c r="A61" s="77" t="s">
        <v>78</v>
      </c>
      <c r="B61" s="78">
        <v>50</v>
      </c>
      <c r="C61" s="501"/>
      <c r="D61" s="504"/>
      <c r="E61" s="136">
        <v>2</v>
      </c>
      <c r="F61" s="90"/>
      <c r="G61" s="137" t="str">
        <f>IF(ISBLANK(F61),"-",(F61/$D$50*$D$47*$B$68)*($B$57/$D$60))</f>
        <v>-</v>
      </c>
      <c r="H61" s="138" t="str">
        <f t="shared" si="0"/>
        <v>-</v>
      </c>
      <c r="L61" s="65"/>
    </row>
    <row r="62" spans="1:12" s="64" customFormat="1" ht="26.25" customHeight="1" x14ac:dyDescent="0.4">
      <c r="A62" s="77" t="s">
        <v>79</v>
      </c>
      <c r="B62" s="78">
        <v>1</v>
      </c>
      <c r="C62" s="501"/>
      <c r="D62" s="504"/>
      <c r="E62" s="136">
        <v>3</v>
      </c>
      <c r="F62" s="139">
        <v>49575924</v>
      </c>
      <c r="G62" s="137">
        <f>IF(ISBLANK(F62),"-",(F62/$D$50*$D$47*$B$68)*($B$57/$D$60))</f>
        <v>67.716462488658991</v>
      </c>
      <c r="H62" s="138">
        <f t="shared" si="0"/>
        <v>90.288616651545311</v>
      </c>
      <c r="L62" s="65"/>
    </row>
    <row r="63" spans="1:12" ht="27" customHeight="1" thickBot="1" x14ac:dyDescent="0.45">
      <c r="A63" s="77" t="s">
        <v>80</v>
      </c>
      <c r="B63" s="78">
        <v>1</v>
      </c>
      <c r="C63" s="502"/>
      <c r="D63" s="505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81</v>
      </c>
      <c r="B64" s="78">
        <v>1</v>
      </c>
      <c r="C64" s="500" t="s">
        <v>82</v>
      </c>
      <c r="D64" s="503">
        <v>470.1</v>
      </c>
      <c r="E64" s="132">
        <v>1</v>
      </c>
      <c r="F64" s="133">
        <v>52612595</v>
      </c>
      <c r="G64" s="134">
        <f>IF(ISBLANK(F64),"-",(F64/$D$50*$D$47*$B$68)*($B$57/$D$64))</f>
        <v>70.515979346387894</v>
      </c>
      <c r="H64" s="135">
        <f t="shared" si="0"/>
        <v>94.021305795183864</v>
      </c>
    </row>
    <row r="65" spans="1:8" ht="26.25" customHeight="1" x14ac:dyDescent="0.4">
      <c r="A65" s="77" t="s">
        <v>83</v>
      </c>
      <c r="B65" s="78">
        <v>1</v>
      </c>
      <c r="C65" s="501"/>
      <c r="D65" s="504"/>
      <c r="E65" s="136">
        <v>2</v>
      </c>
      <c r="F65" s="90">
        <v>51776373</v>
      </c>
      <c r="G65" s="137">
        <f>IF(ISBLANK(F65),"-",(F65/$D$50*$D$47*$B$68)*($B$57/$D$64))</f>
        <v>69.395201835204588</v>
      </c>
      <c r="H65" s="138">
        <f t="shared" si="0"/>
        <v>92.526935780272794</v>
      </c>
    </row>
    <row r="66" spans="1:8" ht="26.25" customHeight="1" x14ac:dyDescent="0.4">
      <c r="A66" s="77" t="s">
        <v>84</v>
      </c>
      <c r="B66" s="78">
        <v>1</v>
      </c>
      <c r="C66" s="501"/>
      <c r="D66" s="504"/>
      <c r="E66" s="136">
        <v>3</v>
      </c>
      <c r="F66" s="90">
        <v>51546562</v>
      </c>
      <c r="G66" s="137">
        <f>IF(ISBLANK(F66),"-",(F66/$D$50*$D$47*$B$68)*($B$57/$D$64))</f>
        <v>69.087189129699894</v>
      </c>
      <c r="H66" s="138">
        <f t="shared" si="0"/>
        <v>92.116252172933187</v>
      </c>
    </row>
    <row r="67" spans="1:8" ht="27" customHeight="1" thickBot="1" x14ac:dyDescent="0.45">
      <c r="A67" s="77" t="s">
        <v>85</v>
      </c>
      <c r="B67" s="78">
        <v>1</v>
      </c>
      <c r="C67" s="502"/>
      <c r="D67" s="505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86</v>
      </c>
      <c r="B68" s="144">
        <f>(B67/B66)*(B65/B64)*(B63/B62)*(B61/B60)*B59</f>
        <v>500</v>
      </c>
      <c r="C68" s="500" t="s">
        <v>87</v>
      </c>
      <c r="D68" s="503">
        <v>495.11</v>
      </c>
      <c r="E68" s="132">
        <v>1</v>
      </c>
      <c r="F68" s="133">
        <v>55220334</v>
      </c>
      <c r="G68" s="134">
        <f>IF(ISBLANK(F68),"-",(F68/$D$50*$D$47*$B$68)*($B$57/$D$68))</f>
        <v>70.272499514686885</v>
      </c>
      <c r="H68" s="138">
        <f t="shared" si="0"/>
        <v>93.696666019582509</v>
      </c>
    </row>
    <row r="69" spans="1:8" ht="27" customHeight="1" thickBot="1" x14ac:dyDescent="0.45">
      <c r="A69" s="123" t="s">
        <v>88</v>
      </c>
      <c r="B69" s="145">
        <f>(D47*B68)/B56*B57</f>
        <v>512.72479999999996</v>
      </c>
      <c r="C69" s="501"/>
      <c r="D69" s="504"/>
      <c r="E69" s="136">
        <v>2</v>
      </c>
      <c r="F69" s="90">
        <v>54570138</v>
      </c>
      <c r="G69" s="137">
        <f>IF(ISBLANK(F69),"-",(F69/$D$50*$D$47*$B$68)*($B$57/$D$68))</f>
        <v>69.445070653165473</v>
      </c>
      <c r="H69" s="138">
        <f t="shared" si="0"/>
        <v>92.593427537553964</v>
      </c>
    </row>
    <row r="70" spans="1:8" ht="26.25" customHeight="1" x14ac:dyDescent="0.4">
      <c r="A70" s="507" t="s">
        <v>61</v>
      </c>
      <c r="B70" s="508"/>
      <c r="C70" s="501"/>
      <c r="D70" s="504"/>
      <c r="E70" s="136">
        <v>3</v>
      </c>
      <c r="F70" s="90">
        <v>52804568</v>
      </c>
      <c r="G70" s="137">
        <f>IF(ISBLANK(F70),"-",(F70/$D$50*$D$47*$B$68)*($B$57/$D$68))</f>
        <v>67.198234968177672</v>
      </c>
      <c r="H70" s="138">
        <f t="shared" si="0"/>
        <v>89.597646624236887</v>
      </c>
    </row>
    <row r="71" spans="1:8" ht="27" customHeight="1" thickBot="1" x14ac:dyDescent="0.45">
      <c r="A71" s="509"/>
      <c r="B71" s="510"/>
      <c r="C71" s="506"/>
      <c r="D71" s="505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54</v>
      </c>
      <c r="G72" s="147">
        <f>AVERAGE(G60:G71)</f>
        <v>69.090091133711638</v>
      </c>
      <c r="H72" s="148">
        <f>AVERAGE(H60:H71)</f>
        <v>92.12012151161548</v>
      </c>
    </row>
    <row r="73" spans="1:8" ht="26.25" customHeight="1" x14ac:dyDescent="0.4">
      <c r="C73" s="107"/>
      <c r="D73" s="107"/>
      <c r="E73" s="107"/>
      <c r="F73" s="149" t="s">
        <v>67</v>
      </c>
      <c r="G73" s="150">
        <f>STDEV(G60:G71)/G72</f>
        <v>1.784098030945808E-2</v>
      </c>
      <c r="H73" s="150">
        <f>STDEV(H60:H71)/H72</f>
        <v>1.7840980309458142E-2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8</v>
      </c>
      <c r="G74" s="152">
        <f>COUNT(G60:G71)</f>
        <v>7</v>
      </c>
      <c r="H74" s="152">
        <f>COUNT(H60:H71)</f>
        <v>7</v>
      </c>
    </row>
    <row r="76" spans="1:8" ht="26.25" customHeight="1" x14ac:dyDescent="0.4">
      <c r="A76" s="60" t="s">
        <v>89</v>
      </c>
      <c r="B76" s="61" t="s">
        <v>90</v>
      </c>
      <c r="C76" s="488" t="str">
        <f>B26</f>
        <v>RIFAMPICIN</v>
      </c>
      <c r="D76" s="488"/>
      <c r="E76" s="49" t="s">
        <v>91</v>
      </c>
      <c r="F76" s="49"/>
      <c r="G76" s="153">
        <f>H72</f>
        <v>92.12012151161548</v>
      </c>
      <c r="H76" s="66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490"/>
      <c r="C79" s="490"/>
    </row>
    <row r="80" spans="1:8" ht="26.25" customHeight="1" x14ac:dyDescent="0.4">
      <c r="A80" s="61" t="s">
        <v>31</v>
      </c>
      <c r="B80" s="490"/>
      <c r="C80" s="490"/>
    </row>
    <row r="81" spans="1:12" ht="27" customHeight="1" thickBot="1" x14ac:dyDescent="0.45">
      <c r="A81" s="61" t="s">
        <v>3</v>
      </c>
      <c r="B81" s="62"/>
    </row>
    <row r="82" spans="1:12" s="64" customFormat="1" ht="27" customHeight="1" thickBot="1" x14ac:dyDescent="0.45">
      <c r="A82" s="61" t="s">
        <v>32</v>
      </c>
      <c r="B82" s="63">
        <v>0</v>
      </c>
      <c r="C82" s="491" t="s">
        <v>33</v>
      </c>
      <c r="D82" s="492"/>
      <c r="E82" s="492"/>
      <c r="F82" s="492"/>
      <c r="G82" s="493"/>
      <c r="I82" s="65"/>
      <c r="J82" s="65"/>
      <c r="K82" s="65"/>
      <c r="L82" s="65"/>
    </row>
    <row r="83" spans="1:12" s="64" customFormat="1" ht="19.5" customHeight="1" thickBot="1" x14ac:dyDescent="0.35">
      <c r="A83" s="61" t="s">
        <v>34</v>
      </c>
      <c r="B83" s="66">
        <f>B81-B82</f>
        <v>0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35</v>
      </c>
      <c r="B84" s="69"/>
      <c r="C84" s="494" t="s">
        <v>94</v>
      </c>
      <c r="D84" s="495"/>
      <c r="E84" s="495"/>
      <c r="F84" s="495"/>
      <c r="G84" s="495"/>
      <c r="H84" s="496"/>
      <c r="I84" s="65"/>
      <c r="J84" s="65"/>
      <c r="K84" s="65"/>
      <c r="L84" s="65"/>
    </row>
    <row r="85" spans="1:12" s="64" customFormat="1" ht="27" customHeight="1" thickBot="1" x14ac:dyDescent="0.45">
      <c r="A85" s="61" t="s">
        <v>37</v>
      </c>
      <c r="B85" s="69"/>
      <c r="C85" s="494" t="s">
        <v>95</v>
      </c>
      <c r="D85" s="495"/>
      <c r="E85" s="495"/>
      <c r="F85" s="495"/>
      <c r="G85" s="495"/>
      <c r="H85" s="496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39</v>
      </c>
      <c r="B87" s="74" t="e">
        <f>B84/B85</f>
        <v>#DIV/0!</v>
      </c>
      <c r="C87" s="49" t="s">
        <v>40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41</v>
      </c>
      <c r="B89" s="76"/>
      <c r="D89" s="154" t="s">
        <v>42</v>
      </c>
      <c r="E89" s="155"/>
      <c r="F89" s="497" t="s">
        <v>43</v>
      </c>
      <c r="G89" s="498"/>
    </row>
    <row r="90" spans="1:12" ht="27" customHeight="1" thickBot="1" x14ac:dyDescent="0.45">
      <c r="A90" s="77" t="s">
        <v>44</v>
      </c>
      <c r="B90" s="78"/>
      <c r="C90" s="156" t="s">
        <v>45</v>
      </c>
      <c r="D90" s="80" t="s">
        <v>46</v>
      </c>
      <c r="E90" s="81" t="s">
        <v>47</v>
      </c>
      <c r="F90" s="80" t="s">
        <v>46</v>
      </c>
      <c r="G90" s="157" t="s">
        <v>47</v>
      </c>
      <c r="I90" s="83" t="s">
        <v>48</v>
      </c>
    </row>
    <row r="91" spans="1:12" ht="26.25" customHeight="1" x14ac:dyDescent="0.4">
      <c r="A91" s="77" t="s">
        <v>49</v>
      </c>
      <c r="B91" s="78"/>
      <c r="C91" s="158">
        <v>1</v>
      </c>
      <c r="D91" s="85"/>
      <c r="E91" s="86" t="str">
        <f>IF(ISBLANK(D91),"-",$D$101/$D$98*D91)</f>
        <v>-</v>
      </c>
      <c r="F91" s="85"/>
      <c r="G91" s="87" t="str">
        <f>IF(ISBLANK(F91),"-",$D$101/$F$98*F91)</f>
        <v>-</v>
      </c>
      <c r="I91" s="88"/>
    </row>
    <row r="92" spans="1:12" ht="26.25" customHeight="1" x14ac:dyDescent="0.4">
      <c r="A92" s="77" t="s">
        <v>50</v>
      </c>
      <c r="B92" s="78">
        <v>1</v>
      </c>
      <c r="C92" s="107">
        <v>2</v>
      </c>
      <c r="D92" s="90"/>
      <c r="E92" s="91" t="str">
        <f>IF(ISBLANK(D92),"-",$D$101/$D$98*D92)</f>
        <v>-</v>
      </c>
      <c r="F92" s="90"/>
      <c r="G92" s="92" t="str">
        <f>IF(ISBLANK(F92),"-",$D$101/$F$98*F92)</f>
        <v>-</v>
      </c>
      <c r="I92" s="479" t="e">
        <f>ABS((F96/D96*D95)-F95)/D95</f>
        <v>#DIV/0!</v>
      </c>
    </row>
    <row r="93" spans="1:12" ht="26.25" customHeight="1" x14ac:dyDescent="0.4">
      <c r="A93" s="77" t="s">
        <v>51</v>
      </c>
      <c r="B93" s="78">
        <v>1</v>
      </c>
      <c r="C93" s="107">
        <v>3</v>
      </c>
      <c r="D93" s="90"/>
      <c r="E93" s="91" t="str">
        <f>IF(ISBLANK(D93),"-",$D$101/$D$98*D93)</f>
        <v>-</v>
      </c>
      <c r="F93" s="90"/>
      <c r="G93" s="92" t="str">
        <f>IF(ISBLANK(F93),"-",$D$101/$F$98*F93)</f>
        <v>-</v>
      </c>
      <c r="I93" s="479"/>
    </row>
    <row r="94" spans="1:12" ht="27" customHeight="1" thickBot="1" x14ac:dyDescent="0.45">
      <c r="A94" s="77" t="s">
        <v>52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53</v>
      </c>
      <c r="B95" s="78">
        <v>1</v>
      </c>
      <c r="C95" s="61" t="s">
        <v>54</v>
      </c>
      <c r="D95" s="161" t="e">
        <f>AVERAGE(D91:D94)</f>
        <v>#DIV/0!</v>
      </c>
      <c r="E95" s="100" t="e">
        <f>AVERAGE(E91:E94)</f>
        <v>#DIV/0!</v>
      </c>
      <c r="F95" s="162" t="e">
        <f>AVERAGE(F91:F94)</f>
        <v>#DIV/0!</v>
      </c>
      <c r="G95" s="163" t="e">
        <f>AVERAGE(G91:G94)</f>
        <v>#DIV/0!</v>
      </c>
    </row>
    <row r="96" spans="1:12" ht="26.25" customHeight="1" x14ac:dyDescent="0.4">
      <c r="A96" s="77" t="s">
        <v>55</v>
      </c>
      <c r="B96" s="62">
        <v>1</v>
      </c>
      <c r="C96" s="164" t="s">
        <v>96</v>
      </c>
      <c r="D96" s="165"/>
      <c r="E96" s="49"/>
      <c r="F96" s="104"/>
    </row>
    <row r="97" spans="1:10" ht="26.25" customHeight="1" x14ac:dyDescent="0.4">
      <c r="A97" s="77" t="s">
        <v>57</v>
      </c>
      <c r="B97" s="62">
        <v>1</v>
      </c>
      <c r="C97" s="166" t="s">
        <v>97</v>
      </c>
      <c r="D97" s="167" t="e">
        <f>D96*$B$87</f>
        <v>#DIV/0!</v>
      </c>
      <c r="E97" s="107"/>
      <c r="F97" s="106" t="e">
        <f>F96*$B$87</f>
        <v>#DIV/0!</v>
      </c>
    </row>
    <row r="98" spans="1:10" ht="19.5" customHeight="1" thickBot="1" x14ac:dyDescent="0.35">
      <c r="A98" s="77" t="s">
        <v>59</v>
      </c>
      <c r="B98" s="107" t="e">
        <f>(B97/B96)*(B95/B94)*(B93/B92)*(B91/B90)*B89</f>
        <v>#DIV/0!</v>
      </c>
      <c r="C98" s="166" t="s">
        <v>98</v>
      </c>
      <c r="D98" s="168" t="e">
        <f>D97*$B$83/100</f>
        <v>#DIV/0!</v>
      </c>
      <c r="E98" s="109"/>
      <c r="F98" s="108" t="e">
        <f>F97*$B$83/100</f>
        <v>#DIV/0!</v>
      </c>
    </row>
    <row r="99" spans="1:10" ht="19.5" customHeight="1" thickBot="1" x14ac:dyDescent="0.35">
      <c r="A99" s="480" t="s">
        <v>61</v>
      </c>
      <c r="B99" s="481"/>
      <c r="C99" s="166" t="s">
        <v>99</v>
      </c>
      <c r="D99" s="169" t="e">
        <f>D98/$B$98</f>
        <v>#DIV/0!</v>
      </c>
      <c r="E99" s="109"/>
      <c r="F99" s="112" t="e">
        <f>F98/$B$98</f>
        <v>#DIV/0!</v>
      </c>
      <c r="H99" s="102"/>
    </row>
    <row r="100" spans="1:10" ht="19.5" customHeight="1" thickBot="1" x14ac:dyDescent="0.35">
      <c r="A100" s="482"/>
      <c r="B100" s="483"/>
      <c r="C100" s="166" t="s">
        <v>63</v>
      </c>
      <c r="D100" s="170" t="e">
        <f>$B$56/$B$116</f>
        <v>#DIV/0!</v>
      </c>
      <c r="F100" s="117"/>
      <c r="G100" s="171"/>
      <c r="H100" s="102"/>
    </row>
    <row r="101" spans="1:10" ht="18.75" x14ac:dyDescent="0.3">
      <c r="C101" s="166" t="s">
        <v>64</v>
      </c>
      <c r="D101" s="167" t="e">
        <f>D100*$B$98</f>
        <v>#DIV/0!</v>
      </c>
      <c r="F101" s="117"/>
      <c r="H101" s="102"/>
    </row>
    <row r="102" spans="1:10" ht="19.5" customHeight="1" thickBot="1" x14ac:dyDescent="0.35">
      <c r="C102" s="172" t="s">
        <v>65</v>
      </c>
      <c r="D102" s="173" t="e">
        <f>D101/B34</f>
        <v>#DIV/0!</v>
      </c>
      <c r="F102" s="121"/>
      <c r="H102" s="102"/>
      <c r="J102" s="174"/>
    </row>
    <row r="103" spans="1:10" ht="18.75" x14ac:dyDescent="0.3">
      <c r="C103" s="175" t="s">
        <v>100</v>
      </c>
      <c r="D103" s="176" t="e">
        <f>AVERAGE(E91:E94,G91:G94)</f>
        <v>#DIV/0!</v>
      </c>
      <c r="F103" s="121"/>
      <c r="G103" s="171"/>
      <c r="H103" s="102"/>
      <c r="J103" s="177"/>
    </row>
    <row r="104" spans="1:10" ht="18.75" x14ac:dyDescent="0.3">
      <c r="C104" s="149" t="s">
        <v>67</v>
      </c>
      <c r="D104" s="178" t="e">
        <f>STDEV(E91:E94,G91:G94)/D103</f>
        <v>#DIV/0!</v>
      </c>
      <c r="F104" s="121"/>
      <c r="H104" s="102"/>
      <c r="J104" s="177"/>
    </row>
    <row r="105" spans="1:10" ht="19.5" customHeight="1" thickBot="1" x14ac:dyDescent="0.35">
      <c r="C105" s="151" t="s">
        <v>8</v>
      </c>
      <c r="D105" s="179">
        <f>COUNT(E91:E94,G91:G94)</f>
        <v>0</v>
      </c>
      <c r="F105" s="121"/>
      <c r="H105" s="102"/>
      <c r="J105" s="177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101</v>
      </c>
      <c r="B107" s="76"/>
      <c r="C107" s="131" t="s">
        <v>102</v>
      </c>
      <c r="D107" s="131" t="s">
        <v>46</v>
      </c>
      <c r="E107" s="131" t="s">
        <v>103</v>
      </c>
      <c r="F107" s="180" t="s">
        <v>104</v>
      </c>
    </row>
    <row r="108" spans="1:10" ht="26.25" customHeight="1" x14ac:dyDescent="0.4">
      <c r="A108" s="77" t="s">
        <v>105</v>
      </c>
      <c r="B108" s="78"/>
      <c r="C108" s="132">
        <v>1</v>
      </c>
      <c r="D108" s="181"/>
      <c r="E108" s="182" t="str">
        <f t="shared" ref="E108:E113" si="1">IF(ISBLANK(D108),"-",D108/$D$103*$D$100*$B$116)</f>
        <v>-</v>
      </c>
      <c r="F108" s="183" t="str">
        <f t="shared" ref="F108:F113" si="2">IF(ISBLANK(D108), "-", (E108/$B$56)*100)</f>
        <v>-</v>
      </c>
    </row>
    <row r="109" spans="1:10" ht="26.25" customHeight="1" x14ac:dyDescent="0.4">
      <c r="A109" s="77" t="s">
        <v>78</v>
      </c>
      <c r="B109" s="78"/>
      <c r="C109" s="136">
        <v>2</v>
      </c>
      <c r="D109" s="184"/>
      <c r="E109" s="185" t="str">
        <f t="shared" si="1"/>
        <v>-</v>
      </c>
      <c r="F109" s="186" t="str">
        <f t="shared" si="2"/>
        <v>-</v>
      </c>
    </row>
    <row r="110" spans="1:10" ht="26.25" customHeight="1" x14ac:dyDescent="0.4">
      <c r="A110" s="77" t="s">
        <v>79</v>
      </c>
      <c r="B110" s="78">
        <v>1</v>
      </c>
      <c r="C110" s="136">
        <v>3</v>
      </c>
      <c r="D110" s="184"/>
      <c r="E110" s="185" t="str">
        <f t="shared" si="1"/>
        <v>-</v>
      </c>
      <c r="F110" s="186" t="str">
        <f t="shared" si="2"/>
        <v>-</v>
      </c>
    </row>
    <row r="111" spans="1:10" ht="26.25" customHeight="1" x14ac:dyDescent="0.4">
      <c r="A111" s="77" t="s">
        <v>80</v>
      </c>
      <c r="B111" s="78">
        <v>1</v>
      </c>
      <c r="C111" s="136">
        <v>4</v>
      </c>
      <c r="D111" s="184"/>
      <c r="E111" s="185" t="str">
        <f t="shared" si="1"/>
        <v>-</v>
      </c>
      <c r="F111" s="186" t="str">
        <f t="shared" si="2"/>
        <v>-</v>
      </c>
    </row>
    <row r="112" spans="1:10" ht="26.25" customHeight="1" x14ac:dyDescent="0.4">
      <c r="A112" s="77" t="s">
        <v>81</v>
      </c>
      <c r="B112" s="78">
        <v>1</v>
      </c>
      <c r="C112" s="136">
        <v>5</v>
      </c>
      <c r="D112" s="184"/>
      <c r="E112" s="185" t="str">
        <f t="shared" si="1"/>
        <v>-</v>
      </c>
      <c r="F112" s="186" t="str">
        <f t="shared" si="2"/>
        <v>-</v>
      </c>
    </row>
    <row r="113" spans="1:10" ht="27" customHeight="1" thickBot="1" x14ac:dyDescent="0.45">
      <c r="A113" s="77" t="s">
        <v>83</v>
      </c>
      <c r="B113" s="78">
        <v>1</v>
      </c>
      <c r="C113" s="140">
        <v>6</v>
      </c>
      <c r="D113" s="187"/>
      <c r="E113" s="188" t="str">
        <f t="shared" si="1"/>
        <v>-</v>
      </c>
      <c r="F113" s="189" t="str">
        <f t="shared" si="2"/>
        <v>-</v>
      </c>
    </row>
    <row r="114" spans="1:10" ht="27" customHeight="1" thickBot="1" x14ac:dyDescent="0.45">
      <c r="A114" s="77" t="s">
        <v>84</v>
      </c>
      <c r="B114" s="78">
        <v>1</v>
      </c>
      <c r="C114" s="190"/>
      <c r="D114" s="107"/>
      <c r="E114" s="49"/>
      <c r="F114" s="186"/>
    </row>
    <row r="115" spans="1:10" ht="26.25" customHeight="1" x14ac:dyDescent="0.4">
      <c r="A115" s="77" t="s">
        <v>85</v>
      </c>
      <c r="B115" s="78">
        <v>1</v>
      </c>
      <c r="C115" s="190"/>
      <c r="D115" s="191" t="s">
        <v>54</v>
      </c>
      <c r="E115" s="192" t="e">
        <f>AVERAGE(E108:E113)</f>
        <v>#DIV/0!</v>
      </c>
      <c r="F115" s="193" t="e">
        <f>AVERAGE(F108:F113)</f>
        <v>#DIV/0!</v>
      </c>
    </row>
    <row r="116" spans="1:10" ht="27" customHeight="1" thickBot="1" x14ac:dyDescent="0.45">
      <c r="A116" s="77" t="s">
        <v>86</v>
      </c>
      <c r="B116" s="89" t="e">
        <f>(B115/B114)*(B113/B112)*(B111/B110)*(B109/B108)*B107</f>
        <v>#DIV/0!</v>
      </c>
      <c r="C116" s="194"/>
      <c r="D116" s="195" t="s">
        <v>67</v>
      </c>
      <c r="E116" s="150" t="e">
        <f>STDEV(E108:E113)/E115</f>
        <v>#DIV/0!</v>
      </c>
      <c r="F116" s="196" t="e">
        <f>STDEV(F108:F113)/F115</f>
        <v>#DIV/0!</v>
      </c>
      <c r="I116" s="49"/>
    </row>
    <row r="117" spans="1:10" ht="27" customHeight="1" thickBot="1" x14ac:dyDescent="0.45">
      <c r="A117" s="480" t="s">
        <v>61</v>
      </c>
      <c r="B117" s="484"/>
      <c r="C117" s="197"/>
      <c r="D117" s="151" t="s">
        <v>8</v>
      </c>
      <c r="E117" s="198">
        <f>COUNT(E108:E113)</f>
        <v>0</v>
      </c>
      <c r="F117" s="199">
        <f>COUNT(F108:F113)</f>
        <v>0</v>
      </c>
      <c r="I117" s="49"/>
      <c r="J117" s="177"/>
    </row>
    <row r="118" spans="1:10" ht="26.25" customHeight="1" thickBot="1" x14ac:dyDescent="0.35">
      <c r="A118" s="482"/>
      <c r="B118" s="485"/>
      <c r="C118" s="49"/>
      <c r="D118" s="200"/>
      <c r="E118" s="486" t="s">
        <v>106</v>
      </c>
      <c r="F118" s="487"/>
      <c r="G118" s="49"/>
      <c r="H118" s="49"/>
      <c r="I118" s="49"/>
    </row>
    <row r="119" spans="1:10" ht="25.5" customHeight="1" x14ac:dyDescent="0.4">
      <c r="A119" s="201"/>
      <c r="B119" s="73"/>
      <c r="C119" s="49"/>
      <c r="D119" s="195" t="s">
        <v>107</v>
      </c>
      <c r="E119" s="202">
        <f>MIN(E108:E113)</f>
        <v>0</v>
      </c>
      <c r="F119" s="203">
        <f>MIN(F108:F113)</f>
        <v>0</v>
      </c>
      <c r="G119" s="49"/>
      <c r="H119" s="49"/>
      <c r="I119" s="49"/>
    </row>
    <row r="120" spans="1:10" ht="24" customHeight="1" thickBot="1" x14ac:dyDescent="0.45">
      <c r="A120" s="201"/>
      <c r="B120" s="73"/>
      <c r="C120" s="49"/>
      <c r="D120" s="118" t="s">
        <v>108</v>
      </c>
      <c r="E120" s="204">
        <f>MAX(E108:E113)</f>
        <v>0</v>
      </c>
      <c r="F120" s="205">
        <f>MAX(F108:F113)</f>
        <v>0</v>
      </c>
      <c r="G120" s="49"/>
      <c r="H120" s="49"/>
      <c r="I120" s="49"/>
    </row>
    <row r="121" spans="1:10" ht="27" customHeight="1" x14ac:dyDescent="0.3">
      <c r="A121" s="201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201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201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89</v>
      </c>
      <c r="B124" s="61" t="s">
        <v>109</v>
      </c>
      <c r="C124" s="488" t="str">
        <f>B26</f>
        <v>RIFAMPICIN</v>
      </c>
      <c r="D124" s="488"/>
      <c r="E124" s="49" t="s">
        <v>110</v>
      </c>
      <c r="F124" s="49"/>
      <c r="G124" s="206" t="e">
        <f>F115</f>
        <v>#DIV/0!</v>
      </c>
      <c r="H124" s="49"/>
      <c r="I124" s="49"/>
    </row>
    <row r="125" spans="1:10" ht="45.75" customHeight="1" x14ac:dyDescent="0.65">
      <c r="A125" s="60"/>
      <c r="B125" s="61" t="s">
        <v>111</v>
      </c>
      <c r="C125" s="61" t="s">
        <v>112</v>
      </c>
      <c r="D125" s="206">
        <f>MIN(F108:F113)</f>
        <v>0</v>
      </c>
      <c r="E125" s="61" t="s">
        <v>113</v>
      </c>
      <c r="F125" s="206">
        <f>MAX(F108:F113)</f>
        <v>0</v>
      </c>
      <c r="G125" s="207"/>
      <c r="H125" s="49"/>
      <c r="I125" s="49"/>
    </row>
    <row r="126" spans="1:10" ht="19.5" customHeight="1" thickBot="1" x14ac:dyDescent="0.35">
      <c r="A126" s="208"/>
      <c r="B126" s="208"/>
      <c r="C126" s="209"/>
      <c r="D126" s="209"/>
      <c r="E126" s="209"/>
      <c r="F126" s="209"/>
      <c r="G126" s="209"/>
      <c r="H126" s="209"/>
    </row>
    <row r="127" spans="1:10" ht="18.75" x14ac:dyDescent="0.3">
      <c r="B127" s="489" t="s">
        <v>9</v>
      </c>
      <c r="C127" s="489"/>
      <c r="E127" s="156" t="s">
        <v>10</v>
      </c>
      <c r="F127" s="210"/>
      <c r="G127" s="489" t="s">
        <v>11</v>
      </c>
      <c r="H127" s="489"/>
    </row>
    <row r="128" spans="1:10" ht="69.95" customHeight="1" x14ac:dyDescent="0.3">
      <c r="A128" s="60" t="s">
        <v>12</v>
      </c>
      <c r="B128" s="211"/>
      <c r="C128" s="211"/>
      <c r="E128" s="211"/>
      <c r="F128" s="49"/>
      <c r="G128" s="211"/>
      <c r="H128" s="211"/>
    </row>
    <row r="129" spans="1:9" ht="69.95" customHeight="1" x14ac:dyDescent="0.3">
      <c r="A129" s="60" t="s">
        <v>13</v>
      </c>
      <c r="B129" s="212"/>
      <c r="C129" s="212"/>
      <c r="E129" s="212"/>
      <c r="F129" s="49"/>
      <c r="G129" s="213"/>
      <c r="H129" s="213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H61"/>
  <sheetViews>
    <sheetView topLeftCell="A11" zoomScale="83" zoomScaleNormal="83" workbookViewId="0">
      <selection activeCell="D27" sqref="D27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8.42578125" style="48" customWidth="1"/>
    <col min="7" max="7" width="21.5703125" style="48" customWidth="1"/>
    <col min="8" max="8" width="9.140625" style="48" customWidth="1"/>
    <col min="9" max="16384" width="9.140625" style="50"/>
  </cols>
  <sheetData>
    <row r="14" spans="1:5" ht="15" customHeight="1" x14ac:dyDescent="0.3">
      <c r="A14" s="424"/>
      <c r="C14" s="425"/>
    </row>
    <row r="15" spans="1:5" ht="18.75" customHeight="1" x14ac:dyDescent="0.3">
      <c r="A15" s="477" t="s">
        <v>125</v>
      </c>
      <c r="B15" s="477"/>
      <c r="C15" s="477"/>
      <c r="D15" s="477"/>
      <c r="E15" s="477"/>
    </row>
    <row r="16" spans="1:5" ht="16.5" customHeight="1" x14ac:dyDescent="0.3">
      <c r="A16" s="426" t="s">
        <v>0</v>
      </c>
      <c r="B16" s="427" t="s">
        <v>126</v>
      </c>
    </row>
    <row r="17" spans="1:5" ht="16.5" customHeight="1" x14ac:dyDescent="0.3">
      <c r="A17" s="428" t="s">
        <v>127</v>
      </c>
      <c r="B17" s="428" t="s">
        <v>114</v>
      </c>
      <c r="D17" s="429"/>
      <c r="E17" s="430"/>
    </row>
    <row r="18" spans="1:5" ht="16.5" customHeight="1" x14ac:dyDescent="0.3">
      <c r="A18" s="431" t="s">
        <v>1</v>
      </c>
      <c r="B18" s="48" t="s">
        <v>122</v>
      </c>
      <c r="C18" s="430"/>
      <c r="D18" s="430"/>
      <c r="E18" s="430"/>
    </row>
    <row r="19" spans="1:5" ht="16.5" customHeight="1" x14ac:dyDescent="0.3">
      <c r="A19" s="431" t="s">
        <v>3</v>
      </c>
      <c r="B19" s="432">
        <v>100.33</v>
      </c>
      <c r="C19" s="430"/>
      <c r="D19" s="430"/>
      <c r="E19" s="430"/>
    </row>
    <row r="20" spans="1:5" ht="16.5" customHeight="1" x14ac:dyDescent="0.3">
      <c r="A20" s="428" t="s">
        <v>128</v>
      </c>
      <c r="B20" s="432">
        <v>20.73</v>
      </c>
      <c r="C20" s="430"/>
      <c r="D20" s="430"/>
      <c r="E20" s="430"/>
    </row>
    <row r="21" spans="1:5" ht="16.5" customHeight="1" x14ac:dyDescent="0.3">
      <c r="A21" s="428" t="s">
        <v>129</v>
      </c>
      <c r="B21" s="433">
        <f>B20/25*5/50</f>
        <v>8.2919999999999994E-2</v>
      </c>
      <c r="C21" s="430"/>
      <c r="D21" s="430"/>
      <c r="E21" s="430"/>
    </row>
    <row r="22" spans="1:5" ht="15.75" customHeight="1" x14ac:dyDescent="0.25">
      <c r="A22" s="430"/>
      <c r="B22" s="430" t="s">
        <v>118</v>
      </c>
      <c r="C22" s="430"/>
      <c r="D22" s="430"/>
      <c r="E22" s="430"/>
    </row>
    <row r="23" spans="1:5" ht="16.5" customHeight="1" x14ac:dyDescent="0.3">
      <c r="A23" s="64" t="s">
        <v>130</v>
      </c>
      <c r="B23" s="434" t="s">
        <v>131</v>
      </c>
      <c r="C23" s="64" t="s">
        <v>132</v>
      </c>
      <c r="D23" s="64" t="s">
        <v>133</v>
      </c>
      <c r="E23" s="434" t="s">
        <v>134</v>
      </c>
    </row>
    <row r="24" spans="1:5" ht="16.5" customHeight="1" x14ac:dyDescent="0.3">
      <c r="A24" s="435">
        <v>1</v>
      </c>
      <c r="B24" s="436">
        <v>19961653</v>
      </c>
      <c r="C24" s="436">
        <v>12179.3</v>
      </c>
      <c r="D24" s="437">
        <v>1.3</v>
      </c>
      <c r="E24" s="464">
        <v>5.2</v>
      </c>
    </row>
    <row r="25" spans="1:5" ht="16.5" customHeight="1" x14ac:dyDescent="0.3">
      <c r="A25" s="435">
        <v>2</v>
      </c>
      <c r="B25" s="436">
        <v>20110206</v>
      </c>
      <c r="C25" s="436">
        <v>11843.3</v>
      </c>
      <c r="D25" s="437">
        <v>1.3</v>
      </c>
      <c r="E25" s="465">
        <v>5.2</v>
      </c>
    </row>
    <row r="26" spans="1:5" ht="16.5" customHeight="1" x14ac:dyDescent="0.3">
      <c r="A26" s="435">
        <v>3</v>
      </c>
      <c r="B26" s="436">
        <v>20119980</v>
      </c>
      <c r="C26" s="436">
        <v>11940</v>
      </c>
      <c r="D26" s="437">
        <v>1.3</v>
      </c>
      <c r="E26" s="465">
        <v>5.2</v>
      </c>
    </row>
    <row r="27" spans="1:5" ht="16.5" customHeight="1" x14ac:dyDescent="0.3">
      <c r="A27" s="435">
        <v>4</v>
      </c>
      <c r="B27" s="436">
        <v>20139644</v>
      </c>
      <c r="C27" s="436">
        <v>11962.6</v>
      </c>
      <c r="D27" s="437">
        <v>1.3</v>
      </c>
      <c r="E27" s="465">
        <v>5.2</v>
      </c>
    </row>
    <row r="28" spans="1:5" ht="16.5" customHeight="1" x14ac:dyDescent="0.3">
      <c r="A28" s="435">
        <v>5</v>
      </c>
      <c r="B28" s="436">
        <v>20088176</v>
      </c>
      <c r="C28" s="436">
        <v>11970.3</v>
      </c>
      <c r="D28" s="437">
        <v>1.3</v>
      </c>
      <c r="E28" s="465">
        <v>5.2</v>
      </c>
    </row>
    <row r="29" spans="1:5" ht="16.5" customHeight="1" x14ac:dyDescent="0.3">
      <c r="A29" s="435">
        <v>6</v>
      </c>
      <c r="B29" s="439">
        <v>20027383</v>
      </c>
      <c r="C29" s="439">
        <v>12055.5</v>
      </c>
      <c r="D29" s="440">
        <v>1.3</v>
      </c>
      <c r="E29" s="466">
        <v>5.2</v>
      </c>
    </row>
    <row r="30" spans="1:5" ht="16.5" customHeight="1" x14ac:dyDescent="0.3">
      <c r="A30" s="441" t="s">
        <v>135</v>
      </c>
      <c r="B30" s="442">
        <f>AVERAGE(B24:B29)</f>
        <v>20074507</v>
      </c>
      <c r="C30" s="443">
        <f>AVERAGE(C24:C29)</f>
        <v>11991.833333333334</v>
      </c>
      <c r="D30" s="444">
        <f>AVERAGE(D24:D29)</f>
        <v>1.3</v>
      </c>
      <c r="E30" s="467">
        <f>AVERAGE(E24:E29)</f>
        <v>5.2</v>
      </c>
    </row>
    <row r="31" spans="1:5" ht="16.5" customHeight="1" x14ac:dyDescent="0.3">
      <c r="A31" s="445" t="s">
        <v>136</v>
      </c>
      <c r="B31" s="446">
        <f>(STDEV(B24:B29)/B30)</f>
        <v>3.3585843107447146E-3</v>
      </c>
      <c r="C31" s="447"/>
      <c r="D31" s="447"/>
      <c r="E31" s="468"/>
    </row>
    <row r="32" spans="1:5" s="48" customFormat="1" ht="16.5" customHeight="1" x14ac:dyDescent="0.3">
      <c r="A32" s="449" t="s">
        <v>8</v>
      </c>
      <c r="B32" s="450">
        <f>COUNT(B24:B29)</f>
        <v>6</v>
      </c>
      <c r="C32" s="451"/>
      <c r="D32" s="452"/>
      <c r="E32" s="452"/>
    </row>
    <row r="33" spans="1:5" s="48" customFormat="1" ht="15.75" customHeight="1" x14ac:dyDescent="0.25">
      <c r="A33" s="430"/>
      <c r="B33" s="430"/>
      <c r="C33" s="430"/>
      <c r="D33" s="430"/>
      <c r="E33" s="430"/>
    </row>
    <row r="34" spans="1:5" s="48" customFormat="1" ht="16.5" customHeight="1" x14ac:dyDescent="0.3">
      <c r="A34" s="431" t="s">
        <v>137</v>
      </c>
      <c r="B34" s="454" t="s">
        <v>138</v>
      </c>
      <c r="C34" s="455"/>
      <c r="D34" s="455"/>
      <c r="E34" s="455"/>
    </row>
    <row r="35" spans="1:5" ht="16.5" customHeight="1" x14ac:dyDescent="0.3">
      <c r="A35" s="431"/>
      <c r="B35" s="454" t="s">
        <v>143</v>
      </c>
      <c r="C35" s="455"/>
      <c r="D35" s="455"/>
      <c r="E35" s="455"/>
    </row>
    <row r="36" spans="1:5" ht="16.5" customHeight="1" x14ac:dyDescent="0.3">
      <c r="A36" s="431"/>
      <c r="B36" s="454" t="s">
        <v>140</v>
      </c>
      <c r="C36" s="455"/>
      <c r="D36" s="455"/>
      <c r="E36" s="455"/>
    </row>
    <row r="37" spans="1:5" ht="15.75" customHeight="1" x14ac:dyDescent="0.25">
      <c r="A37" s="430"/>
      <c r="B37" s="430" t="s">
        <v>144</v>
      </c>
      <c r="C37" s="430"/>
      <c r="D37" s="430"/>
      <c r="E37" s="430"/>
    </row>
    <row r="38" spans="1:5" ht="16.5" customHeight="1" x14ac:dyDescent="0.3">
      <c r="A38" s="426" t="s">
        <v>0</v>
      </c>
      <c r="B38" s="427" t="s">
        <v>141</v>
      </c>
    </row>
    <row r="39" spans="1:5" ht="16.5" customHeight="1" x14ac:dyDescent="0.3">
      <c r="A39" s="431" t="s">
        <v>1</v>
      </c>
      <c r="B39" s="428"/>
      <c r="C39" s="430"/>
      <c r="D39" s="430"/>
      <c r="E39" s="430"/>
    </row>
    <row r="40" spans="1:5" ht="16.5" customHeight="1" x14ac:dyDescent="0.3">
      <c r="A40" s="431" t="s">
        <v>3</v>
      </c>
      <c r="B40" s="432"/>
      <c r="C40" s="430"/>
      <c r="D40" s="430"/>
      <c r="E40" s="430"/>
    </row>
    <row r="41" spans="1:5" ht="16.5" customHeight="1" x14ac:dyDescent="0.3">
      <c r="A41" s="428" t="s">
        <v>128</v>
      </c>
      <c r="B41" s="432"/>
      <c r="C41" s="430"/>
      <c r="D41" s="430"/>
      <c r="E41" s="430"/>
    </row>
    <row r="42" spans="1:5" ht="16.5" customHeight="1" x14ac:dyDescent="0.3">
      <c r="A42" s="428" t="s">
        <v>129</v>
      </c>
      <c r="B42" s="433"/>
      <c r="C42" s="430"/>
      <c r="D42" s="430"/>
      <c r="E42" s="430"/>
    </row>
    <row r="43" spans="1:5" ht="15.75" customHeight="1" x14ac:dyDescent="0.25">
      <c r="A43" s="430"/>
      <c r="B43" s="430"/>
      <c r="C43" s="430"/>
      <c r="D43" s="430"/>
      <c r="E43" s="430"/>
    </row>
    <row r="44" spans="1:5" ht="16.5" customHeight="1" x14ac:dyDescent="0.3">
      <c r="A44" s="64" t="s">
        <v>130</v>
      </c>
      <c r="B44" s="434" t="s">
        <v>131</v>
      </c>
      <c r="C44" s="64" t="s">
        <v>132</v>
      </c>
      <c r="D44" s="64" t="s">
        <v>133</v>
      </c>
      <c r="E44" s="64" t="s">
        <v>134</v>
      </c>
    </row>
    <row r="45" spans="1:5" ht="16.5" customHeight="1" x14ac:dyDescent="0.3">
      <c r="A45" s="435">
        <v>1</v>
      </c>
      <c r="B45" s="436"/>
      <c r="C45" s="436"/>
      <c r="D45" s="437"/>
      <c r="E45" s="438"/>
    </row>
    <row r="46" spans="1:5" ht="16.5" customHeight="1" x14ac:dyDescent="0.3">
      <c r="A46" s="435">
        <v>2</v>
      </c>
      <c r="B46" s="436"/>
      <c r="C46" s="436"/>
      <c r="D46" s="437"/>
      <c r="E46" s="437"/>
    </row>
    <row r="47" spans="1:5" ht="16.5" customHeight="1" x14ac:dyDescent="0.3">
      <c r="A47" s="435">
        <v>3</v>
      </c>
      <c r="B47" s="436"/>
      <c r="C47" s="436"/>
      <c r="D47" s="437"/>
      <c r="E47" s="437"/>
    </row>
    <row r="48" spans="1:5" ht="16.5" customHeight="1" x14ac:dyDescent="0.3">
      <c r="A48" s="435">
        <v>4</v>
      </c>
      <c r="B48" s="436"/>
      <c r="C48" s="436"/>
      <c r="D48" s="437"/>
      <c r="E48" s="437"/>
    </row>
    <row r="49" spans="1:6" ht="16.5" customHeight="1" x14ac:dyDescent="0.3">
      <c r="A49" s="435">
        <v>5</v>
      </c>
      <c r="B49" s="436"/>
      <c r="C49" s="436"/>
      <c r="D49" s="437"/>
      <c r="E49" s="437"/>
    </row>
    <row r="50" spans="1:6" ht="16.5" customHeight="1" x14ac:dyDescent="0.3">
      <c r="A50" s="435">
        <v>6</v>
      </c>
      <c r="B50" s="439"/>
      <c r="C50" s="439"/>
      <c r="D50" s="440"/>
      <c r="E50" s="440"/>
    </row>
    <row r="51" spans="1:6" ht="16.5" customHeight="1" x14ac:dyDescent="0.3">
      <c r="A51" s="441" t="s">
        <v>135</v>
      </c>
      <c r="B51" s="442" t="e">
        <f>AVERAGE(B45:B50)</f>
        <v>#DIV/0!</v>
      </c>
      <c r="C51" s="443" t="e">
        <f>AVERAGE(C45:C50)</f>
        <v>#DIV/0!</v>
      </c>
      <c r="D51" s="444" t="e">
        <f>AVERAGE(D45:D50)</f>
        <v>#DIV/0!</v>
      </c>
      <c r="E51" s="444" t="e">
        <f>AVERAGE(E45:E50)</f>
        <v>#DIV/0!</v>
      </c>
    </row>
    <row r="52" spans="1:6" ht="16.5" customHeight="1" x14ac:dyDescent="0.3">
      <c r="A52" s="445" t="s">
        <v>136</v>
      </c>
      <c r="B52" s="446" t="e">
        <f>(STDEV(B45:B50)/B51)</f>
        <v>#DIV/0!</v>
      </c>
      <c r="C52" s="447"/>
      <c r="D52" s="447"/>
      <c r="E52" s="448"/>
    </row>
    <row r="53" spans="1:6" s="48" customFormat="1" ht="16.5" customHeight="1" x14ac:dyDescent="0.3">
      <c r="A53" s="449" t="s">
        <v>8</v>
      </c>
      <c r="B53" s="450">
        <f>COUNT(B45:B50)</f>
        <v>0</v>
      </c>
      <c r="C53" s="451"/>
      <c r="D53" s="452"/>
      <c r="E53" s="453"/>
    </row>
    <row r="54" spans="1:6" s="48" customFormat="1" ht="15.75" customHeight="1" x14ac:dyDescent="0.25">
      <c r="A54" s="430"/>
      <c r="B54" s="430"/>
      <c r="C54" s="430"/>
      <c r="D54" s="430"/>
      <c r="E54" s="430"/>
    </row>
    <row r="55" spans="1:6" s="48" customFormat="1" ht="16.5" customHeight="1" x14ac:dyDescent="0.3">
      <c r="A55" s="431" t="s">
        <v>137</v>
      </c>
      <c r="B55" s="454" t="s">
        <v>138</v>
      </c>
      <c r="C55" s="455"/>
      <c r="D55" s="455"/>
      <c r="E55" s="455"/>
    </row>
    <row r="56" spans="1:6" ht="16.5" customHeight="1" x14ac:dyDescent="0.3">
      <c r="A56" s="431"/>
      <c r="B56" s="454" t="s">
        <v>142</v>
      </c>
      <c r="C56" s="455"/>
      <c r="D56" s="455"/>
      <c r="E56" s="455"/>
    </row>
    <row r="57" spans="1:6" ht="16.5" customHeight="1" x14ac:dyDescent="0.3">
      <c r="A57" s="431"/>
      <c r="B57" s="454" t="s">
        <v>140</v>
      </c>
      <c r="C57" s="455"/>
      <c r="D57" s="455"/>
      <c r="E57" s="455"/>
    </row>
    <row r="58" spans="1:6" ht="14.25" customHeight="1" thickBot="1" x14ac:dyDescent="0.3">
      <c r="A58" s="456"/>
      <c r="B58" s="102"/>
      <c r="D58" s="457"/>
      <c r="F58" s="50"/>
    </row>
    <row r="59" spans="1:6" ht="15" customHeight="1" x14ac:dyDescent="0.3">
      <c r="B59" s="478" t="s">
        <v>9</v>
      </c>
      <c r="C59" s="478"/>
      <c r="E59" s="458" t="s">
        <v>10</v>
      </c>
      <c r="F59" s="458" t="s">
        <v>11</v>
      </c>
    </row>
    <row r="60" spans="1:6" ht="15" customHeight="1" x14ac:dyDescent="0.3">
      <c r="A60" s="460" t="s">
        <v>12</v>
      </c>
      <c r="B60" s="461"/>
      <c r="C60" s="461"/>
      <c r="E60" s="461"/>
      <c r="F60" s="461"/>
    </row>
    <row r="61" spans="1:6" ht="15" customHeight="1" x14ac:dyDescent="0.3">
      <c r="A61" s="460" t="s">
        <v>13</v>
      </c>
      <c r="B61" s="462"/>
      <c r="C61" s="462"/>
      <c r="E61" s="462"/>
      <c r="F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2" zoomScale="40" zoomScaleNormal="40" zoomScaleSheetLayoutView="40" zoomScalePageLayoutView="42" workbookViewId="0">
      <selection activeCell="F62" sqref="F62"/>
    </sheetView>
  </sheetViews>
  <sheetFormatPr defaultColWidth="9.140625" defaultRowHeight="13.5" x14ac:dyDescent="0.25"/>
  <cols>
    <col min="1" max="1" width="55.42578125" style="214" customWidth="1"/>
    <col min="2" max="2" width="33.7109375" style="214" customWidth="1"/>
    <col min="3" max="3" width="42.28515625" style="214" customWidth="1"/>
    <col min="4" max="4" width="30.5703125" style="214" customWidth="1"/>
    <col min="5" max="5" width="39.85546875" style="214" customWidth="1"/>
    <col min="6" max="6" width="30.7109375" style="214" customWidth="1"/>
    <col min="7" max="7" width="39.85546875" style="214" customWidth="1"/>
    <col min="8" max="8" width="30" style="214" customWidth="1"/>
    <col min="9" max="9" width="30.28515625" style="214" hidden="1" customWidth="1"/>
    <col min="10" max="10" width="30.42578125" style="214" customWidth="1"/>
    <col min="11" max="11" width="21.28515625" style="214" customWidth="1"/>
    <col min="12" max="12" width="9.140625" style="214"/>
    <col min="13" max="16384" width="9.140625" style="216"/>
  </cols>
  <sheetData>
    <row r="1" spans="1:9" ht="18.75" customHeight="1" x14ac:dyDescent="0.25">
      <c r="A1" s="560" t="s">
        <v>28</v>
      </c>
      <c r="B1" s="560"/>
      <c r="C1" s="560"/>
      <c r="D1" s="560"/>
      <c r="E1" s="560"/>
      <c r="F1" s="560"/>
      <c r="G1" s="560"/>
      <c r="H1" s="560"/>
      <c r="I1" s="560"/>
    </row>
    <row r="2" spans="1:9" ht="18.75" customHeight="1" x14ac:dyDescent="0.25">
      <c r="A2" s="560"/>
      <c r="B2" s="560"/>
      <c r="C2" s="560"/>
      <c r="D2" s="560"/>
      <c r="E2" s="560"/>
      <c r="F2" s="560"/>
      <c r="G2" s="560"/>
      <c r="H2" s="560"/>
      <c r="I2" s="560"/>
    </row>
    <row r="3" spans="1:9" ht="18.75" customHeight="1" x14ac:dyDescent="0.25">
      <c r="A3" s="560"/>
      <c r="B3" s="560"/>
      <c r="C3" s="560"/>
      <c r="D3" s="560"/>
      <c r="E3" s="560"/>
      <c r="F3" s="560"/>
      <c r="G3" s="560"/>
      <c r="H3" s="560"/>
      <c r="I3" s="560"/>
    </row>
    <row r="4" spans="1:9" ht="18.75" customHeight="1" x14ac:dyDescent="0.25">
      <c r="A4" s="560"/>
      <c r="B4" s="560"/>
      <c r="C4" s="560"/>
      <c r="D4" s="560"/>
      <c r="E4" s="560"/>
      <c r="F4" s="560"/>
      <c r="G4" s="560"/>
      <c r="H4" s="560"/>
      <c r="I4" s="560"/>
    </row>
    <row r="5" spans="1:9" ht="18.75" customHeight="1" x14ac:dyDescent="0.25">
      <c r="A5" s="560"/>
      <c r="B5" s="560"/>
      <c r="C5" s="560"/>
      <c r="D5" s="560"/>
      <c r="E5" s="560"/>
      <c r="F5" s="560"/>
      <c r="G5" s="560"/>
      <c r="H5" s="560"/>
      <c r="I5" s="560"/>
    </row>
    <row r="6" spans="1:9" ht="18.75" customHeight="1" x14ac:dyDescent="0.25">
      <c r="A6" s="560"/>
      <c r="B6" s="560"/>
      <c r="C6" s="560"/>
      <c r="D6" s="560"/>
      <c r="E6" s="560"/>
      <c r="F6" s="560"/>
      <c r="G6" s="560"/>
      <c r="H6" s="560"/>
      <c r="I6" s="560"/>
    </row>
    <row r="7" spans="1:9" ht="18.75" customHeight="1" x14ac:dyDescent="0.25">
      <c r="A7" s="560"/>
      <c r="B7" s="560"/>
      <c r="C7" s="560"/>
      <c r="D7" s="560"/>
      <c r="E7" s="560"/>
      <c r="F7" s="560"/>
      <c r="G7" s="560"/>
      <c r="H7" s="560"/>
      <c r="I7" s="560"/>
    </row>
    <row r="8" spans="1:9" x14ac:dyDescent="0.25">
      <c r="A8" s="561" t="s">
        <v>29</v>
      </c>
      <c r="B8" s="561"/>
      <c r="C8" s="561"/>
      <c r="D8" s="561"/>
      <c r="E8" s="561"/>
      <c r="F8" s="561"/>
      <c r="G8" s="561"/>
      <c r="H8" s="561"/>
      <c r="I8" s="561"/>
    </row>
    <row r="9" spans="1:9" x14ac:dyDescent="0.25">
      <c r="A9" s="561"/>
      <c r="B9" s="561"/>
      <c r="C9" s="561"/>
      <c r="D9" s="561"/>
      <c r="E9" s="561"/>
      <c r="F9" s="561"/>
      <c r="G9" s="561"/>
      <c r="H9" s="561"/>
      <c r="I9" s="561"/>
    </row>
    <row r="10" spans="1:9" x14ac:dyDescent="0.25">
      <c r="A10" s="561"/>
      <c r="B10" s="561"/>
      <c r="C10" s="561"/>
      <c r="D10" s="561"/>
      <c r="E10" s="561"/>
      <c r="F10" s="561"/>
      <c r="G10" s="561"/>
      <c r="H10" s="561"/>
      <c r="I10" s="561"/>
    </row>
    <row r="11" spans="1:9" x14ac:dyDescent="0.25">
      <c r="A11" s="561"/>
      <c r="B11" s="561"/>
      <c r="C11" s="561"/>
      <c r="D11" s="561"/>
      <c r="E11" s="561"/>
      <c r="F11" s="561"/>
      <c r="G11" s="561"/>
      <c r="H11" s="561"/>
      <c r="I11" s="561"/>
    </row>
    <row r="12" spans="1:9" x14ac:dyDescent="0.25">
      <c r="A12" s="561"/>
      <c r="B12" s="561"/>
      <c r="C12" s="561"/>
      <c r="D12" s="561"/>
      <c r="E12" s="561"/>
      <c r="F12" s="561"/>
      <c r="G12" s="561"/>
      <c r="H12" s="561"/>
      <c r="I12" s="561"/>
    </row>
    <row r="13" spans="1:9" x14ac:dyDescent="0.25">
      <c r="A13" s="561"/>
      <c r="B13" s="561"/>
      <c r="C13" s="561"/>
      <c r="D13" s="561"/>
      <c r="E13" s="561"/>
      <c r="F13" s="561"/>
      <c r="G13" s="561"/>
      <c r="H13" s="561"/>
      <c r="I13" s="561"/>
    </row>
    <row r="14" spans="1:9" x14ac:dyDescent="0.25">
      <c r="A14" s="561"/>
      <c r="B14" s="561"/>
      <c r="C14" s="561"/>
      <c r="D14" s="561"/>
      <c r="E14" s="561"/>
      <c r="F14" s="561"/>
      <c r="G14" s="561"/>
      <c r="H14" s="561"/>
      <c r="I14" s="561"/>
    </row>
    <row r="15" spans="1:9" ht="19.5" customHeight="1" thickBot="1" x14ac:dyDescent="0.35">
      <c r="A15" s="215"/>
    </row>
    <row r="16" spans="1:9" ht="19.5" customHeight="1" thickBot="1" x14ac:dyDescent="0.35">
      <c r="A16" s="562" t="s">
        <v>14</v>
      </c>
      <c r="B16" s="563"/>
      <c r="C16" s="563"/>
      <c r="D16" s="563"/>
      <c r="E16" s="563"/>
      <c r="F16" s="563"/>
      <c r="G16" s="563"/>
      <c r="H16" s="564"/>
    </row>
    <row r="17" spans="1:14" ht="20.25" customHeight="1" x14ac:dyDescent="0.25">
      <c r="A17" s="565" t="s">
        <v>30</v>
      </c>
      <c r="B17" s="565"/>
      <c r="C17" s="565"/>
      <c r="D17" s="565"/>
      <c r="E17" s="565"/>
      <c r="F17" s="565"/>
      <c r="G17" s="565"/>
      <c r="H17" s="565"/>
    </row>
    <row r="18" spans="1:14" ht="26.25" customHeight="1" x14ac:dyDescent="0.4">
      <c r="A18" s="217" t="s">
        <v>16</v>
      </c>
      <c r="B18" s="566" t="s">
        <v>114</v>
      </c>
      <c r="C18" s="566"/>
      <c r="D18" s="218"/>
      <c r="E18" s="219"/>
      <c r="F18" s="220"/>
      <c r="G18" s="220"/>
      <c r="H18" s="220"/>
    </row>
    <row r="19" spans="1:14" ht="26.25" customHeight="1" x14ac:dyDescent="0.4">
      <c r="A19" s="217" t="s">
        <v>17</v>
      </c>
      <c r="B19" s="221" t="s">
        <v>115</v>
      </c>
      <c r="C19" s="220">
        <v>1</v>
      </c>
      <c r="D19" s="220"/>
      <c r="E19" s="220"/>
      <c r="F19" s="220"/>
      <c r="G19" s="220"/>
      <c r="H19" s="220"/>
    </row>
    <row r="20" spans="1:14" ht="26.25" customHeight="1" x14ac:dyDescent="0.4">
      <c r="A20" s="217" t="s">
        <v>18</v>
      </c>
      <c r="B20" s="567" t="s">
        <v>121</v>
      </c>
      <c r="C20" s="567"/>
      <c r="D20" s="220"/>
      <c r="E20" s="220"/>
      <c r="F20" s="220"/>
      <c r="G20" s="220"/>
      <c r="H20" s="220"/>
    </row>
    <row r="21" spans="1:14" ht="26.25" customHeight="1" x14ac:dyDescent="0.4">
      <c r="A21" s="217" t="s">
        <v>19</v>
      </c>
      <c r="B21" s="567" t="s">
        <v>117</v>
      </c>
      <c r="C21" s="567"/>
      <c r="D21" s="567"/>
      <c r="E21" s="567"/>
      <c r="F21" s="567"/>
      <c r="G21" s="567"/>
      <c r="H21" s="567"/>
      <c r="I21" s="222"/>
    </row>
    <row r="22" spans="1:14" ht="26.25" customHeight="1" x14ac:dyDescent="0.4">
      <c r="A22" s="217" t="s">
        <v>20</v>
      </c>
      <c r="B22" s="223" t="s">
        <v>118</v>
      </c>
      <c r="C22" s="220"/>
      <c r="D22" s="220"/>
      <c r="E22" s="220"/>
      <c r="F22" s="220"/>
      <c r="G22" s="220"/>
      <c r="H22" s="220"/>
    </row>
    <row r="23" spans="1:14" ht="26.25" customHeight="1" x14ac:dyDescent="0.4">
      <c r="A23" s="217" t="s">
        <v>21</v>
      </c>
      <c r="B23" s="223"/>
      <c r="C23" s="220"/>
      <c r="D23" s="220"/>
      <c r="E23" s="220"/>
      <c r="F23" s="220"/>
      <c r="G23" s="220"/>
      <c r="H23" s="220"/>
    </row>
    <row r="24" spans="1:14" ht="18.75" x14ac:dyDescent="0.3">
      <c r="A24" s="217"/>
      <c r="B24" s="224"/>
    </row>
    <row r="25" spans="1:14" ht="18.75" x14ac:dyDescent="0.3">
      <c r="A25" s="225" t="s">
        <v>0</v>
      </c>
      <c r="B25" s="224"/>
    </row>
    <row r="26" spans="1:14" ht="26.25" customHeight="1" x14ac:dyDescent="0.4">
      <c r="A26" s="226" t="s">
        <v>1</v>
      </c>
      <c r="B26" s="566" t="s">
        <v>122</v>
      </c>
      <c r="C26" s="566"/>
    </row>
    <row r="27" spans="1:14" ht="26.25" customHeight="1" x14ac:dyDescent="0.4">
      <c r="A27" s="227" t="s">
        <v>31</v>
      </c>
      <c r="B27" s="568" t="s">
        <v>123</v>
      </c>
      <c r="C27" s="568"/>
    </row>
    <row r="28" spans="1:14" ht="27" customHeight="1" thickBot="1" x14ac:dyDescent="0.45">
      <c r="A28" s="227" t="s">
        <v>3</v>
      </c>
      <c r="B28" s="228">
        <v>100.33</v>
      </c>
    </row>
    <row r="29" spans="1:14" s="230" customFormat="1" ht="27" customHeight="1" thickBot="1" x14ac:dyDescent="0.45">
      <c r="A29" s="227" t="s">
        <v>32</v>
      </c>
      <c r="B29" s="229">
        <v>0</v>
      </c>
      <c r="C29" s="540" t="s">
        <v>33</v>
      </c>
      <c r="D29" s="541"/>
      <c r="E29" s="541"/>
      <c r="F29" s="541"/>
      <c r="G29" s="542"/>
      <c r="I29" s="231"/>
      <c r="J29" s="231"/>
      <c r="K29" s="231"/>
      <c r="L29" s="231"/>
    </row>
    <row r="30" spans="1:14" s="230" customFormat="1" ht="19.5" customHeight="1" thickBot="1" x14ac:dyDescent="0.35">
      <c r="A30" s="227" t="s">
        <v>34</v>
      </c>
      <c r="B30" s="232">
        <f>B28-B29</f>
        <v>100.33</v>
      </c>
      <c r="C30" s="233"/>
      <c r="D30" s="233"/>
      <c r="E30" s="233"/>
      <c r="F30" s="233"/>
      <c r="G30" s="234"/>
      <c r="I30" s="231"/>
      <c r="J30" s="231"/>
      <c r="K30" s="231"/>
      <c r="L30" s="231"/>
    </row>
    <row r="31" spans="1:14" s="230" customFormat="1" ht="27" customHeight="1" thickBot="1" x14ac:dyDescent="0.45">
      <c r="A31" s="227" t="s">
        <v>35</v>
      </c>
      <c r="B31" s="235">
        <v>1</v>
      </c>
      <c r="C31" s="543" t="s">
        <v>36</v>
      </c>
      <c r="D31" s="544"/>
      <c r="E31" s="544"/>
      <c r="F31" s="544"/>
      <c r="G31" s="544"/>
      <c r="H31" s="545"/>
      <c r="I31" s="231"/>
      <c r="J31" s="231"/>
      <c r="K31" s="231"/>
      <c r="L31" s="231"/>
    </row>
    <row r="32" spans="1:14" s="230" customFormat="1" ht="27" customHeight="1" thickBot="1" x14ac:dyDescent="0.45">
      <c r="A32" s="227" t="s">
        <v>37</v>
      </c>
      <c r="B32" s="235">
        <v>1</v>
      </c>
      <c r="C32" s="543" t="s">
        <v>38</v>
      </c>
      <c r="D32" s="544"/>
      <c r="E32" s="544"/>
      <c r="F32" s="544"/>
      <c r="G32" s="544"/>
      <c r="H32" s="545"/>
      <c r="I32" s="231"/>
      <c r="J32" s="231"/>
      <c r="K32" s="231"/>
      <c r="L32" s="236"/>
      <c r="M32" s="236"/>
      <c r="N32" s="237"/>
    </row>
    <row r="33" spans="1:14" s="230" customFormat="1" ht="17.25" customHeight="1" x14ac:dyDescent="0.3">
      <c r="A33" s="227"/>
      <c r="B33" s="238"/>
      <c r="C33" s="239"/>
      <c r="D33" s="239"/>
      <c r="E33" s="239"/>
      <c r="F33" s="239"/>
      <c r="G33" s="239"/>
      <c r="H33" s="239"/>
      <c r="I33" s="231"/>
      <c r="J33" s="231"/>
      <c r="K33" s="231"/>
      <c r="L33" s="236"/>
      <c r="M33" s="236"/>
      <c r="N33" s="237"/>
    </row>
    <row r="34" spans="1:14" s="230" customFormat="1" ht="18.75" x14ac:dyDescent="0.3">
      <c r="A34" s="227" t="s">
        <v>39</v>
      </c>
      <c r="B34" s="240">
        <f>B31/B32</f>
        <v>1</v>
      </c>
      <c r="C34" s="215" t="s">
        <v>40</v>
      </c>
      <c r="D34" s="215"/>
      <c r="E34" s="215"/>
      <c r="F34" s="215"/>
      <c r="G34" s="215"/>
      <c r="I34" s="231"/>
      <c r="J34" s="231"/>
      <c r="K34" s="231"/>
      <c r="L34" s="236"/>
      <c r="M34" s="236"/>
      <c r="N34" s="237"/>
    </row>
    <row r="35" spans="1:14" s="230" customFormat="1" ht="19.5" customHeight="1" thickBot="1" x14ac:dyDescent="0.35">
      <c r="A35" s="227"/>
      <c r="B35" s="232"/>
      <c r="G35" s="215"/>
      <c r="I35" s="231"/>
      <c r="J35" s="231"/>
      <c r="K35" s="231"/>
      <c r="L35" s="236"/>
      <c r="M35" s="236"/>
      <c r="N35" s="237"/>
    </row>
    <row r="36" spans="1:14" s="230" customFormat="1" ht="27" customHeight="1" thickBot="1" x14ac:dyDescent="0.45">
      <c r="A36" s="241" t="s">
        <v>41</v>
      </c>
      <c r="B36" s="242">
        <v>25</v>
      </c>
      <c r="C36" s="215"/>
      <c r="D36" s="546" t="s">
        <v>42</v>
      </c>
      <c r="E36" s="548"/>
      <c r="F36" s="546" t="s">
        <v>43</v>
      </c>
      <c r="G36" s="547"/>
      <c r="J36" s="231"/>
      <c r="K36" s="231"/>
      <c r="L36" s="236"/>
      <c r="M36" s="236"/>
      <c r="N36" s="237"/>
    </row>
    <row r="37" spans="1:14" s="230" customFormat="1" ht="27" customHeight="1" thickBot="1" x14ac:dyDescent="0.45">
      <c r="A37" s="243" t="s">
        <v>44</v>
      </c>
      <c r="B37" s="244">
        <v>5</v>
      </c>
      <c r="C37" s="245" t="s">
        <v>45</v>
      </c>
      <c r="D37" s="246" t="s">
        <v>46</v>
      </c>
      <c r="E37" s="247" t="s">
        <v>47</v>
      </c>
      <c r="F37" s="246" t="s">
        <v>46</v>
      </c>
      <c r="G37" s="248" t="s">
        <v>47</v>
      </c>
      <c r="I37" s="249" t="s">
        <v>48</v>
      </c>
      <c r="J37" s="231"/>
      <c r="K37" s="231"/>
      <c r="L37" s="236"/>
      <c r="M37" s="236"/>
      <c r="N37" s="237"/>
    </row>
    <row r="38" spans="1:14" s="230" customFormat="1" ht="26.25" customHeight="1" x14ac:dyDescent="0.4">
      <c r="A38" s="243" t="s">
        <v>49</v>
      </c>
      <c r="B38" s="244">
        <v>50</v>
      </c>
      <c r="C38" s="250">
        <v>1</v>
      </c>
      <c r="D38" s="251">
        <v>19930082</v>
      </c>
      <c r="E38" s="252">
        <f>IF(ISBLANK(D38),"-",$D$48/$D$45*D38)</f>
        <v>19165006.32332021</v>
      </c>
      <c r="F38" s="251">
        <v>21052099</v>
      </c>
      <c r="G38" s="253">
        <f>IF(ISBLANK(F38),"-",$D$48/$F$45*F38)</f>
        <v>19294579.840549175</v>
      </c>
      <c r="I38" s="254"/>
      <c r="J38" s="231"/>
      <c r="K38" s="231"/>
      <c r="L38" s="236"/>
      <c r="M38" s="236"/>
      <c r="N38" s="237"/>
    </row>
    <row r="39" spans="1:14" s="230" customFormat="1" ht="26.25" customHeight="1" x14ac:dyDescent="0.4">
      <c r="A39" s="243" t="s">
        <v>50</v>
      </c>
      <c r="B39" s="244">
        <v>1</v>
      </c>
      <c r="C39" s="255">
        <v>2</v>
      </c>
      <c r="D39" s="256">
        <v>19870821</v>
      </c>
      <c r="E39" s="257">
        <f>IF(ISBLANK(D39),"-",$D$48/$D$45*D39)</f>
        <v>19108020.233663063</v>
      </c>
      <c r="F39" s="256">
        <v>20962288</v>
      </c>
      <c r="G39" s="258">
        <f>IF(ISBLANK(F39),"-",$D$48/$F$45*F39)</f>
        <v>19212266.646503322</v>
      </c>
      <c r="I39" s="528">
        <f>ABS((F43/D43*D42)-F42)/D42</f>
        <v>9.3880688188955168E-3</v>
      </c>
      <c r="J39" s="231"/>
      <c r="K39" s="231"/>
      <c r="L39" s="236"/>
      <c r="M39" s="236"/>
      <c r="N39" s="237"/>
    </row>
    <row r="40" spans="1:14" ht="26.25" customHeight="1" x14ac:dyDescent="0.4">
      <c r="A40" s="243" t="s">
        <v>51</v>
      </c>
      <c r="B40" s="244">
        <v>1</v>
      </c>
      <c r="C40" s="255">
        <v>3</v>
      </c>
      <c r="D40" s="256">
        <v>19820936</v>
      </c>
      <c r="E40" s="257">
        <f>IF(ISBLANK(D40),"-",$D$48/$D$45*D40)</f>
        <v>19060050.218264289</v>
      </c>
      <c r="F40" s="256">
        <v>21100822</v>
      </c>
      <c r="G40" s="258">
        <f>IF(ISBLANK(F40),"-",$D$48/$F$45*F40)</f>
        <v>19339235.236363679</v>
      </c>
      <c r="I40" s="528"/>
      <c r="L40" s="236"/>
      <c r="M40" s="236"/>
      <c r="N40" s="215"/>
    </row>
    <row r="41" spans="1:14" ht="27" customHeight="1" thickBot="1" x14ac:dyDescent="0.45">
      <c r="A41" s="243" t="s">
        <v>52</v>
      </c>
      <c r="B41" s="244">
        <v>1</v>
      </c>
      <c r="C41" s="259">
        <v>4</v>
      </c>
      <c r="D41" s="260"/>
      <c r="E41" s="261" t="str">
        <f>IF(ISBLANK(D41),"-",$D$48/$D$45*D41)</f>
        <v>-</v>
      </c>
      <c r="F41" s="260"/>
      <c r="G41" s="262" t="str">
        <f>IF(ISBLANK(F41),"-",$D$48/$F$45*F41)</f>
        <v>-</v>
      </c>
      <c r="I41" s="263"/>
      <c r="L41" s="236"/>
      <c r="M41" s="236"/>
      <c r="N41" s="215"/>
    </row>
    <row r="42" spans="1:14" ht="27" customHeight="1" thickBot="1" x14ac:dyDescent="0.45">
      <c r="A42" s="243" t="s">
        <v>53</v>
      </c>
      <c r="B42" s="244">
        <v>1</v>
      </c>
      <c r="C42" s="264" t="s">
        <v>54</v>
      </c>
      <c r="D42" s="265">
        <f>AVERAGE(D38:D41)</f>
        <v>19873946.333333332</v>
      </c>
      <c r="E42" s="266">
        <f>AVERAGE(E38:E41)</f>
        <v>19111025.591749188</v>
      </c>
      <c r="F42" s="265">
        <f>AVERAGE(F38:F41)</f>
        <v>21038403</v>
      </c>
      <c r="G42" s="267">
        <f>AVERAGE(G38:G41)</f>
        <v>19282027.241138726</v>
      </c>
      <c r="H42" s="268"/>
    </row>
    <row r="43" spans="1:14" ht="26.25" customHeight="1" x14ac:dyDescent="0.4">
      <c r="A43" s="243" t="s">
        <v>55</v>
      </c>
      <c r="B43" s="244">
        <v>1</v>
      </c>
      <c r="C43" s="269" t="s">
        <v>56</v>
      </c>
      <c r="D43" s="270">
        <v>20.73</v>
      </c>
      <c r="E43" s="215"/>
      <c r="F43" s="270">
        <v>21.75</v>
      </c>
      <c r="H43" s="268"/>
    </row>
    <row r="44" spans="1:14" ht="26.25" customHeight="1" x14ac:dyDescent="0.4">
      <c r="A44" s="243" t="s">
        <v>57</v>
      </c>
      <c r="B44" s="244">
        <v>1</v>
      </c>
      <c r="C44" s="271" t="s">
        <v>58</v>
      </c>
      <c r="D44" s="272">
        <f>D43*$B$34</f>
        <v>20.73</v>
      </c>
      <c r="E44" s="273"/>
      <c r="F44" s="272">
        <f>F43*$B$34</f>
        <v>21.75</v>
      </c>
      <c r="H44" s="268"/>
    </row>
    <row r="45" spans="1:14" ht="19.5" customHeight="1" thickBot="1" x14ac:dyDescent="0.35">
      <c r="A45" s="243" t="s">
        <v>59</v>
      </c>
      <c r="B45" s="255">
        <f>(B44/B43)*(B42/B41)*(B40/B39)*(B38/B37)*B36</f>
        <v>250</v>
      </c>
      <c r="C45" s="271" t="s">
        <v>60</v>
      </c>
      <c r="D45" s="274">
        <f>D44*$B$30/100</f>
        <v>20.798409000000003</v>
      </c>
      <c r="E45" s="275"/>
      <c r="F45" s="274">
        <f>F44*$B$30/100</f>
        <v>21.821774999999999</v>
      </c>
      <c r="H45" s="268"/>
    </row>
    <row r="46" spans="1:14" ht="19.5" customHeight="1" thickBot="1" x14ac:dyDescent="0.35">
      <c r="A46" s="529" t="s">
        <v>61</v>
      </c>
      <c r="B46" s="533"/>
      <c r="C46" s="271" t="s">
        <v>62</v>
      </c>
      <c r="D46" s="276">
        <f>D45/$B$45</f>
        <v>8.3193636000000015E-2</v>
      </c>
      <c r="E46" s="277"/>
      <c r="F46" s="278">
        <f>F45/$B$45</f>
        <v>8.7287099999999992E-2</v>
      </c>
      <c r="H46" s="268"/>
    </row>
    <row r="47" spans="1:14" ht="27" customHeight="1" thickBot="1" x14ac:dyDescent="0.45">
      <c r="A47" s="531"/>
      <c r="B47" s="534"/>
      <c r="C47" s="279" t="s">
        <v>63</v>
      </c>
      <c r="D47" s="280">
        <v>0.08</v>
      </c>
      <c r="E47" s="281"/>
      <c r="F47" s="277"/>
      <c r="H47" s="268"/>
    </row>
    <row r="48" spans="1:14" ht="18.75" x14ac:dyDescent="0.3">
      <c r="C48" s="282" t="s">
        <v>64</v>
      </c>
      <c r="D48" s="274">
        <f>D47*$B$45</f>
        <v>20</v>
      </c>
      <c r="F48" s="283"/>
      <c r="H48" s="268"/>
    </row>
    <row r="49" spans="1:12" ht="19.5" customHeight="1" thickBot="1" x14ac:dyDescent="0.35">
      <c r="C49" s="284" t="s">
        <v>65</v>
      </c>
      <c r="D49" s="285">
        <f>D48/B34</f>
        <v>20</v>
      </c>
      <c r="F49" s="283"/>
      <c r="H49" s="268"/>
    </row>
    <row r="50" spans="1:12" ht="18.75" x14ac:dyDescent="0.3">
      <c r="C50" s="241" t="s">
        <v>66</v>
      </c>
      <c r="D50" s="286">
        <f>AVERAGE(E38:E41,G38:G41)</f>
        <v>19196526.416443959</v>
      </c>
      <c r="F50" s="287"/>
      <c r="H50" s="268"/>
    </row>
    <row r="51" spans="1:12" ht="18.75" x14ac:dyDescent="0.3">
      <c r="C51" s="243" t="s">
        <v>67</v>
      </c>
      <c r="D51" s="288">
        <f>STDEV(E38:E41,G38:G41)/D50</f>
        <v>5.5950943926083756E-3</v>
      </c>
      <c r="F51" s="287"/>
      <c r="H51" s="268"/>
    </row>
    <row r="52" spans="1:12" ht="19.5" customHeight="1" thickBot="1" x14ac:dyDescent="0.35">
      <c r="C52" s="289" t="s">
        <v>8</v>
      </c>
      <c r="D52" s="290">
        <f>COUNT(E38:E41,G38:G41)</f>
        <v>6</v>
      </c>
      <c r="F52" s="287"/>
    </row>
    <row r="54" spans="1:12" ht="18.75" x14ac:dyDescent="0.3">
      <c r="A54" s="291" t="s">
        <v>0</v>
      </c>
      <c r="B54" s="292" t="s">
        <v>68</v>
      </c>
    </row>
    <row r="55" spans="1:12" ht="18.75" x14ac:dyDescent="0.3">
      <c r="A55" s="215" t="s">
        <v>69</v>
      </c>
      <c r="B55" s="293" t="str">
        <f>B21</f>
        <v>Each  dispersible tablet contains: Rifampicin BP 75 mg and Isoniazid BP 50 mg.</v>
      </c>
    </row>
    <row r="56" spans="1:12" ht="26.25" customHeight="1" x14ac:dyDescent="0.4">
      <c r="A56" s="293" t="s">
        <v>70</v>
      </c>
      <c r="B56" s="294">
        <v>50</v>
      </c>
      <c r="C56" s="215" t="str">
        <f>B20</f>
        <v>, Isoniazid</v>
      </c>
      <c r="H56" s="273"/>
    </row>
    <row r="57" spans="1:12" ht="18.75" x14ac:dyDescent="0.3">
      <c r="A57" s="293" t="s">
        <v>71</v>
      </c>
      <c r="B57" s="295">
        <f>Uniformity!C46</f>
        <v>480.67950000000002</v>
      </c>
      <c r="H57" s="273"/>
    </row>
    <row r="58" spans="1:12" ht="19.5" customHeight="1" thickBot="1" x14ac:dyDescent="0.35">
      <c r="H58" s="273"/>
    </row>
    <row r="59" spans="1:12" s="230" customFormat="1" ht="27" customHeight="1" thickBot="1" x14ac:dyDescent="0.45">
      <c r="A59" s="241" t="s">
        <v>72</v>
      </c>
      <c r="B59" s="242">
        <v>50</v>
      </c>
      <c r="C59" s="215"/>
      <c r="D59" s="296" t="s">
        <v>73</v>
      </c>
      <c r="E59" s="297" t="s">
        <v>45</v>
      </c>
      <c r="F59" s="297" t="s">
        <v>46</v>
      </c>
      <c r="G59" s="297" t="s">
        <v>74</v>
      </c>
      <c r="H59" s="245" t="s">
        <v>75</v>
      </c>
      <c r="L59" s="231"/>
    </row>
    <row r="60" spans="1:12" s="230" customFormat="1" ht="26.25" customHeight="1" x14ac:dyDescent="0.4">
      <c r="A60" s="243" t="s">
        <v>76</v>
      </c>
      <c r="B60" s="244">
        <v>5</v>
      </c>
      <c r="C60" s="549" t="s">
        <v>77</v>
      </c>
      <c r="D60" s="552">
        <f>Rifampicin!D60</f>
        <v>461.28</v>
      </c>
      <c r="E60" s="298">
        <v>1</v>
      </c>
      <c r="F60" s="299">
        <v>23416837</v>
      </c>
      <c r="G60" s="300">
        <f>IF(ISBLANK(F60),"-",(F60/$D$50*$D$47*$B$68)*($B$57/$D$60))</f>
        <v>50.845971429169524</v>
      </c>
      <c r="H60" s="301">
        <f t="shared" ref="H60:H71" si="0">IF(ISBLANK(F60),"-",(G60/$B$56)*100)</f>
        <v>101.69194285833905</v>
      </c>
      <c r="L60" s="231"/>
    </row>
    <row r="61" spans="1:12" s="230" customFormat="1" ht="26.25" customHeight="1" x14ac:dyDescent="0.4">
      <c r="A61" s="243" t="s">
        <v>78</v>
      </c>
      <c r="B61" s="244">
        <v>50</v>
      </c>
      <c r="C61" s="550"/>
      <c r="D61" s="553"/>
      <c r="E61" s="302">
        <v>2</v>
      </c>
      <c r="F61" s="256">
        <v>24171509</v>
      </c>
      <c r="G61" s="303">
        <f>IF(ISBLANK(F61),"-",(F61/$D$50*$D$47*$B$68)*($B$57/$D$60))</f>
        <v>52.484622753018016</v>
      </c>
      <c r="H61" s="304">
        <f t="shared" si="0"/>
        <v>104.96924550603603</v>
      </c>
      <c r="L61" s="231"/>
    </row>
    <row r="62" spans="1:12" s="230" customFormat="1" ht="26.25" customHeight="1" x14ac:dyDescent="0.4">
      <c r="A62" s="243" t="s">
        <v>79</v>
      </c>
      <c r="B62" s="244">
        <v>1</v>
      </c>
      <c r="C62" s="550"/>
      <c r="D62" s="553"/>
      <c r="E62" s="302">
        <v>3</v>
      </c>
      <c r="F62" s="305"/>
      <c r="G62" s="303" t="str">
        <f>IF(ISBLANK(F62),"-",(F62/$D$50*$D$47*$B$68)*($B$57/$D$60))</f>
        <v>-</v>
      </c>
      <c r="H62" s="304" t="str">
        <f t="shared" si="0"/>
        <v>-</v>
      </c>
      <c r="L62" s="231"/>
    </row>
    <row r="63" spans="1:12" ht="27" customHeight="1" thickBot="1" x14ac:dyDescent="0.45">
      <c r="A63" s="243" t="s">
        <v>80</v>
      </c>
      <c r="B63" s="244">
        <v>1</v>
      </c>
      <c r="C63" s="551"/>
      <c r="D63" s="554"/>
      <c r="E63" s="306">
        <v>4</v>
      </c>
      <c r="F63" s="307"/>
      <c r="G63" s="303" t="str">
        <f>IF(ISBLANK(F63),"-",(F63/$D$50*$D$47*$B$68)*($B$57/$D$60))</f>
        <v>-</v>
      </c>
      <c r="H63" s="304" t="str">
        <f t="shared" si="0"/>
        <v>-</v>
      </c>
    </row>
    <row r="64" spans="1:12" ht="26.25" customHeight="1" x14ac:dyDescent="0.4">
      <c r="A64" s="243" t="s">
        <v>81</v>
      </c>
      <c r="B64" s="244">
        <v>1</v>
      </c>
      <c r="C64" s="549" t="s">
        <v>82</v>
      </c>
      <c r="D64" s="552">
        <f>Rifampicin!D64</f>
        <v>470.1</v>
      </c>
      <c r="E64" s="298">
        <v>1</v>
      </c>
      <c r="F64" s="299">
        <v>24206325</v>
      </c>
      <c r="G64" s="300">
        <f>IF(ISBLANK(F64),"-",(F64/$D$50*$D$47*$B$68)*($B$57/$D$64))</f>
        <v>51.574087170251119</v>
      </c>
      <c r="H64" s="301">
        <f t="shared" si="0"/>
        <v>103.14817434050224</v>
      </c>
    </row>
    <row r="65" spans="1:8" ht="26.25" customHeight="1" x14ac:dyDescent="0.4">
      <c r="A65" s="243" t="s">
        <v>83</v>
      </c>
      <c r="B65" s="244">
        <v>1</v>
      </c>
      <c r="C65" s="550"/>
      <c r="D65" s="553"/>
      <c r="E65" s="302">
        <v>2</v>
      </c>
      <c r="F65" s="256">
        <v>23838600</v>
      </c>
      <c r="G65" s="303">
        <f>IF(ISBLANK(F65),"-",(F65/$D$50*$D$47*$B$68)*($B$57/$D$64))</f>
        <v>50.790610900942141</v>
      </c>
      <c r="H65" s="304">
        <f t="shared" si="0"/>
        <v>101.5812218018843</v>
      </c>
    </row>
    <row r="66" spans="1:8" ht="26.25" customHeight="1" x14ac:dyDescent="0.4">
      <c r="A66" s="243" t="s">
        <v>84</v>
      </c>
      <c r="B66" s="244">
        <v>1</v>
      </c>
      <c r="C66" s="550"/>
      <c r="D66" s="553"/>
      <c r="E66" s="302">
        <v>3</v>
      </c>
      <c r="F66" s="256">
        <v>23759677</v>
      </c>
      <c r="G66" s="303">
        <f>IF(ISBLANK(F66),"-",(F66/$D$50*$D$47*$B$68)*($B$57/$D$64))</f>
        <v>50.622457260034743</v>
      </c>
      <c r="H66" s="304">
        <f t="shared" si="0"/>
        <v>101.2449145200695</v>
      </c>
    </row>
    <row r="67" spans="1:8" ht="27" customHeight="1" thickBot="1" x14ac:dyDescent="0.45">
      <c r="A67" s="243" t="s">
        <v>85</v>
      </c>
      <c r="B67" s="244">
        <v>1</v>
      </c>
      <c r="C67" s="551"/>
      <c r="D67" s="554"/>
      <c r="E67" s="306">
        <v>4</v>
      </c>
      <c r="F67" s="307"/>
      <c r="G67" s="308" t="str">
        <f>IF(ISBLANK(F67),"-",(F67/$D$50*$D$47*$B$68)*($B$57/$D$64))</f>
        <v>-</v>
      </c>
      <c r="H67" s="309" t="str">
        <f t="shared" si="0"/>
        <v>-</v>
      </c>
    </row>
    <row r="68" spans="1:8" ht="26.25" customHeight="1" x14ac:dyDescent="0.4">
      <c r="A68" s="243" t="s">
        <v>86</v>
      </c>
      <c r="B68" s="310">
        <f>(B67/B66)*(B65/B64)*(B63/B62)*(B61/B60)*B59</f>
        <v>500</v>
      </c>
      <c r="C68" s="549" t="s">
        <v>87</v>
      </c>
      <c r="D68" s="552">
        <f>Rifampicin!D68</f>
        <v>495.11</v>
      </c>
      <c r="E68" s="298">
        <v>1</v>
      </c>
      <c r="F68" s="299">
        <v>26331065</v>
      </c>
      <c r="G68" s="300">
        <f>IF(ISBLANK(F68),"-",(F68/$D$50*$D$47*$B$68)*($B$57/$D$68))</f>
        <v>53.267175429048031</v>
      </c>
      <c r="H68" s="304">
        <f t="shared" si="0"/>
        <v>106.53435085809606</v>
      </c>
    </row>
    <row r="69" spans="1:8" ht="27" customHeight="1" thickBot="1" x14ac:dyDescent="0.45">
      <c r="A69" s="289" t="s">
        <v>88</v>
      </c>
      <c r="B69" s="311">
        <f>(D47*B68)/B56*B57</f>
        <v>384.54360000000003</v>
      </c>
      <c r="C69" s="550"/>
      <c r="D69" s="553"/>
      <c r="E69" s="302">
        <v>2</v>
      </c>
      <c r="F69" s="256">
        <v>26093309</v>
      </c>
      <c r="G69" s="303">
        <f>IF(ISBLANK(F69),"-",(F69/$D$50*$D$47*$B$68)*($B$57/$D$68))</f>
        <v>52.786200179421456</v>
      </c>
      <c r="H69" s="304">
        <f t="shared" si="0"/>
        <v>105.57240035884293</v>
      </c>
    </row>
    <row r="70" spans="1:8" ht="26.25" customHeight="1" x14ac:dyDescent="0.4">
      <c r="A70" s="556" t="s">
        <v>61</v>
      </c>
      <c r="B70" s="557"/>
      <c r="C70" s="550"/>
      <c r="D70" s="553"/>
      <c r="E70" s="302">
        <v>3</v>
      </c>
      <c r="F70" s="256">
        <v>25260275</v>
      </c>
      <c r="G70" s="303">
        <f>IF(ISBLANK(F70),"-",(F70/$D$50*$D$47*$B$68)*($B$57/$D$68))</f>
        <v>51.100990400919841</v>
      </c>
      <c r="H70" s="304">
        <f t="shared" si="0"/>
        <v>102.20198080183968</v>
      </c>
    </row>
    <row r="71" spans="1:8" ht="27" customHeight="1" thickBot="1" x14ac:dyDescent="0.45">
      <c r="A71" s="558"/>
      <c r="B71" s="559"/>
      <c r="C71" s="555"/>
      <c r="D71" s="554"/>
      <c r="E71" s="306">
        <v>4</v>
      </c>
      <c r="F71" s="307"/>
      <c r="G71" s="308" t="str">
        <f>IF(ISBLANK(F71),"-",(F71/$D$50*$D$47*$B$68)*($B$57/$D$68))</f>
        <v>-</v>
      </c>
      <c r="H71" s="309" t="str">
        <f t="shared" si="0"/>
        <v>-</v>
      </c>
    </row>
    <row r="72" spans="1:8" ht="26.25" customHeight="1" x14ac:dyDescent="0.4">
      <c r="A72" s="273"/>
      <c r="B72" s="273"/>
      <c r="C72" s="273"/>
      <c r="D72" s="273"/>
      <c r="E72" s="273"/>
      <c r="F72" s="312" t="s">
        <v>54</v>
      </c>
      <c r="G72" s="313">
        <f>AVERAGE(G60:G71)</f>
        <v>51.684014440350609</v>
      </c>
      <c r="H72" s="314">
        <f>AVERAGE(H60:H71)</f>
        <v>103.36802888070123</v>
      </c>
    </row>
    <row r="73" spans="1:8" ht="26.25" customHeight="1" x14ac:dyDescent="0.4">
      <c r="C73" s="273"/>
      <c r="D73" s="273"/>
      <c r="E73" s="273"/>
      <c r="F73" s="315" t="s">
        <v>67</v>
      </c>
      <c r="G73" s="316">
        <f>STDEV(G60:G71)/G72</f>
        <v>1.9814786783840535E-2</v>
      </c>
      <c r="H73" s="316">
        <f>STDEV(H60:H71)/H72</f>
        <v>1.9814786783840514E-2</v>
      </c>
    </row>
    <row r="74" spans="1:8" ht="27" customHeight="1" thickBot="1" x14ac:dyDescent="0.45">
      <c r="A74" s="273"/>
      <c r="B74" s="273"/>
      <c r="C74" s="273"/>
      <c r="D74" s="273"/>
      <c r="E74" s="275"/>
      <c r="F74" s="317" t="s">
        <v>8</v>
      </c>
      <c r="G74" s="318">
        <f>COUNT(G60:G71)</f>
        <v>8</v>
      </c>
      <c r="H74" s="318">
        <f>COUNT(H60:H71)</f>
        <v>8</v>
      </c>
    </row>
    <row r="76" spans="1:8" ht="26.25" customHeight="1" x14ac:dyDescent="0.4">
      <c r="A76" s="226" t="s">
        <v>89</v>
      </c>
      <c r="B76" s="227" t="s">
        <v>90</v>
      </c>
      <c r="C76" s="537" t="str">
        <f>B26</f>
        <v>ISONIAZID</v>
      </c>
      <c r="D76" s="537"/>
      <c r="E76" s="215" t="s">
        <v>91</v>
      </c>
      <c r="F76" s="215"/>
      <c r="G76" s="319">
        <f>H72</f>
        <v>103.36802888070123</v>
      </c>
      <c r="H76" s="232"/>
    </row>
    <row r="77" spans="1:8" ht="18.75" x14ac:dyDescent="0.3">
      <c r="A77" s="225" t="s">
        <v>92</v>
      </c>
      <c r="B77" s="225" t="s">
        <v>93</v>
      </c>
    </row>
    <row r="78" spans="1:8" ht="18.75" x14ac:dyDescent="0.3">
      <c r="A78" s="225"/>
      <c r="B78" s="225"/>
    </row>
    <row r="79" spans="1:8" ht="26.25" customHeight="1" x14ac:dyDescent="0.4">
      <c r="A79" s="226" t="s">
        <v>1</v>
      </c>
      <c r="B79" s="539"/>
      <c r="C79" s="539"/>
    </row>
    <row r="80" spans="1:8" ht="26.25" customHeight="1" x14ac:dyDescent="0.4">
      <c r="A80" s="227" t="s">
        <v>31</v>
      </c>
      <c r="B80" s="539"/>
      <c r="C80" s="539"/>
    </row>
    <row r="81" spans="1:12" ht="27" customHeight="1" thickBot="1" x14ac:dyDescent="0.45">
      <c r="A81" s="227" t="s">
        <v>3</v>
      </c>
      <c r="B81" s="228"/>
    </row>
    <row r="82" spans="1:12" s="230" customFormat="1" ht="27" customHeight="1" thickBot="1" x14ac:dyDescent="0.45">
      <c r="A82" s="227" t="s">
        <v>32</v>
      </c>
      <c r="B82" s="229">
        <v>0</v>
      </c>
      <c r="C82" s="540" t="s">
        <v>33</v>
      </c>
      <c r="D82" s="541"/>
      <c r="E82" s="541"/>
      <c r="F82" s="541"/>
      <c r="G82" s="542"/>
      <c r="I82" s="231"/>
      <c r="J82" s="231"/>
      <c r="K82" s="231"/>
      <c r="L82" s="231"/>
    </row>
    <row r="83" spans="1:12" s="230" customFormat="1" ht="19.5" customHeight="1" thickBot="1" x14ac:dyDescent="0.35">
      <c r="A83" s="227" t="s">
        <v>34</v>
      </c>
      <c r="B83" s="232">
        <f>B81-B82</f>
        <v>0</v>
      </c>
      <c r="C83" s="233"/>
      <c r="D83" s="233"/>
      <c r="E83" s="233"/>
      <c r="F83" s="233"/>
      <c r="G83" s="234"/>
      <c r="I83" s="231"/>
      <c r="J83" s="231"/>
      <c r="K83" s="231"/>
      <c r="L83" s="231"/>
    </row>
    <row r="84" spans="1:12" s="230" customFormat="1" ht="27" customHeight="1" thickBot="1" x14ac:dyDescent="0.45">
      <c r="A84" s="227" t="s">
        <v>35</v>
      </c>
      <c r="B84" s="235"/>
      <c r="C84" s="543" t="s">
        <v>94</v>
      </c>
      <c r="D84" s="544"/>
      <c r="E84" s="544"/>
      <c r="F84" s="544"/>
      <c r="G84" s="544"/>
      <c r="H84" s="545"/>
      <c r="I84" s="231"/>
      <c r="J84" s="231"/>
      <c r="K84" s="231"/>
      <c r="L84" s="231"/>
    </row>
    <row r="85" spans="1:12" s="230" customFormat="1" ht="27" customHeight="1" thickBot="1" x14ac:dyDescent="0.45">
      <c r="A85" s="227" t="s">
        <v>37</v>
      </c>
      <c r="B85" s="235"/>
      <c r="C85" s="543" t="s">
        <v>95</v>
      </c>
      <c r="D85" s="544"/>
      <c r="E85" s="544"/>
      <c r="F85" s="544"/>
      <c r="G85" s="544"/>
      <c r="H85" s="545"/>
      <c r="I85" s="231"/>
      <c r="J85" s="231"/>
      <c r="K85" s="231"/>
      <c r="L85" s="231"/>
    </row>
    <row r="86" spans="1:12" s="230" customFormat="1" ht="18.75" x14ac:dyDescent="0.3">
      <c r="A86" s="227"/>
      <c r="B86" s="238"/>
      <c r="C86" s="239"/>
      <c r="D86" s="239"/>
      <c r="E86" s="239"/>
      <c r="F86" s="239"/>
      <c r="G86" s="239"/>
      <c r="H86" s="239"/>
      <c r="I86" s="231"/>
      <c r="J86" s="231"/>
      <c r="K86" s="231"/>
      <c r="L86" s="231"/>
    </row>
    <row r="87" spans="1:12" s="230" customFormat="1" ht="18.75" x14ac:dyDescent="0.3">
      <c r="A87" s="227" t="s">
        <v>39</v>
      </c>
      <c r="B87" s="240" t="e">
        <f>B84/B85</f>
        <v>#DIV/0!</v>
      </c>
      <c r="C87" s="215" t="s">
        <v>40</v>
      </c>
      <c r="D87" s="215"/>
      <c r="E87" s="215"/>
      <c r="F87" s="215"/>
      <c r="G87" s="215"/>
      <c r="I87" s="231"/>
      <c r="J87" s="231"/>
      <c r="K87" s="231"/>
      <c r="L87" s="231"/>
    </row>
    <row r="88" spans="1:12" ht="19.5" customHeight="1" thickBot="1" x14ac:dyDescent="0.35">
      <c r="A88" s="225"/>
      <c r="B88" s="225"/>
    </row>
    <row r="89" spans="1:12" ht="27" customHeight="1" thickBot="1" x14ac:dyDescent="0.45">
      <c r="A89" s="241" t="s">
        <v>41</v>
      </c>
      <c r="B89" s="242"/>
      <c r="D89" s="320" t="s">
        <v>42</v>
      </c>
      <c r="E89" s="321"/>
      <c r="F89" s="546" t="s">
        <v>43</v>
      </c>
      <c r="G89" s="547"/>
    </row>
    <row r="90" spans="1:12" ht="27" customHeight="1" thickBot="1" x14ac:dyDescent="0.45">
      <c r="A90" s="243" t="s">
        <v>44</v>
      </c>
      <c r="B90" s="244"/>
      <c r="C90" s="322" t="s">
        <v>45</v>
      </c>
      <c r="D90" s="246" t="s">
        <v>46</v>
      </c>
      <c r="E90" s="247" t="s">
        <v>47</v>
      </c>
      <c r="F90" s="246" t="s">
        <v>46</v>
      </c>
      <c r="G90" s="323" t="s">
        <v>47</v>
      </c>
      <c r="I90" s="249" t="s">
        <v>48</v>
      </c>
    </row>
    <row r="91" spans="1:12" ht="26.25" customHeight="1" x14ac:dyDescent="0.4">
      <c r="A91" s="243" t="s">
        <v>49</v>
      </c>
      <c r="B91" s="244"/>
      <c r="C91" s="324">
        <v>1</v>
      </c>
      <c r="D91" s="251"/>
      <c r="E91" s="252" t="str">
        <f>IF(ISBLANK(D91),"-",$D$101/$D$98*D91)</f>
        <v>-</v>
      </c>
      <c r="F91" s="251"/>
      <c r="G91" s="253" t="str">
        <f>IF(ISBLANK(F91),"-",$D$101/$F$98*F91)</f>
        <v>-</v>
      </c>
      <c r="I91" s="254"/>
    </row>
    <row r="92" spans="1:12" ht="26.25" customHeight="1" x14ac:dyDescent="0.4">
      <c r="A92" s="243" t="s">
        <v>50</v>
      </c>
      <c r="B92" s="244">
        <v>1</v>
      </c>
      <c r="C92" s="273">
        <v>2</v>
      </c>
      <c r="D92" s="256"/>
      <c r="E92" s="257" t="str">
        <f>IF(ISBLANK(D92),"-",$D$101/$D$98*D92)</f>
        <v>-</v>
      </c>
      <c r="F92" s="256"/>
      <c r="G92" s="258" t="str">
        <f>IF(ISBLANK(F92),"-",$D$101/$F$98*F92)</f>
        <v>-</v>
      </c>
      <c r="I92" s="528" t="e">
        <f>ABS((F96/D96*D95)-F95)/D95</f>
        <v>#DIV/0!</v>
      </c>
    </row>
    <row r="93" spans="1:12" ht="26.25" customHeight="1" x14ac:dyDescent="0.4">
      <c r="A93" s="243" t="s">
        <v>51</v>
      </c>
      <c r="B93" s="244">
        <v>1</v>
      </c>
      <c r="C93" s="273">
        <v>3</v>
      </c>
      <c r="D93" s="256"/>
      <c r="E93" s="257" t="str">
        <f>IF(ISBLANK(D93),"-",$D$101/$D$98*D93)</f>
        <v>-</v>
      </c>
      <c r="F93" s="256"/>
      <c r="G93" s="258" t="str">
        <f>IF(ISBLANK(F93),"-",$D$101/$F$98*F93)</f>
        <v>-</v>
      </c>
      <c r="I93" s="528"/>
    </row>
    <row r="94" spans="1:12" ht="27" customHeight="1" thickBot="1" x14ac:dyDescent="0.45">
      <c r="A94" s="243" t="s">
        <v>52</v>
      </c>
      <c r="B94" s="244">
        <v>1</v>
      </c>
      <c r="C94" s="325">
        <v>4</v>
      </c>
      <c r="D94" s="260"/>
      <c r="E94" s="261" t="str">
        <f>IF(ISBLANK(D94),"-",$D$101/$D$98*D94)</f>
        <v>-</v>
      </c>
      <c r="F94" s="326"/>
      <c r="G94" s="262" t="str">
        <f>IF(ISBLANK(F94),"-",$D$101/$F$98*F94)</f>
        <v>-</v>
      </c>
      <c r="I94" s="263"/>
    </row>
    <row r="95" spans="1:12" ht="27" customHeight="1" thickBot="1" x14ac:dyDescent="0.45">
      <c r="A95" s="243" t="s">
        <v>53</v>
      </c>
      <c r="B95" s="244">
        <v>1</v>
      </c>
      <c r="C95" s="227" t="s">
        <v>54</v>
      </c>
      <c r="D95" s="327" t="e">
        <f>AVERAGE(D91:D94)</f>
        <v>#DIV/0!</v>
      </c>
      <c r="E95" s="266" t="e">
        <f>AVERAGE(E91:E94)</f>
        <v>#DIV/0!</v>
      </c>
      <c r="F95" s="328" t="e">
        <f>AVERAGE(F91:F94)</f>
        <v>#DIV/0!</v>
      </c>
      <c r="G95" s="329" t="e">
        <f>AVERAGE(G91:G94)</f>
        <v>#DIV/0!</v>
      </c>
    </row>
    <row r="96" spans="1:12" ht="26.25" customHeight="1" x14ac:dyDescent="0.4">
      <c r="A96" s="243" t="s">
        <v>55</v>
      </c>
      <c r="B96" s="228">
        <v>1</v>
      </c>
      <c r="C96" s="330" t="s">
        <v>96</v>
      </c>
      <c r="D96" s="331"/>
      <c r="E96" s="215"/>
      <c r="F96" s="270"/>
    </row>
    <row r="97" spans="1:10" ht="26.25" customHeight="1" x14ac:dyDescent="0.4">
      <c r="A97" s="243" t="s">
        <v>57</v>
      </c>
      <c r="B97" s="228">
        <v>1</v>
      </c>
      <c r="C97" s="332" t="s">
        <v>97</v>
      </c>
      <c r="D97" s="333" t="e">
        <f>D96*$B$87</f>
        <v>#DIV/0!</v>
      </c>
      <c r="E97" s="273"/>
      <c r="F97" s="272" t="e">
        <f>F96*$B$87</f>
        <v>#DIV/0!</v>
      </c>
    </row>
    <row r="98" spans="1:10" ht="19.5" customHeight="1" thickBot="1" x14ac:dyDescent="0.35">
      <c r="A98" s="243" t="s">
        <v>59</v>
      </c>
      <c r="B98" s="273" t="e">
        <f>(B97/B96)*(B95/B94)*(B93/B92)*(B91/B90)*B89</f>
        <v>#DIV/0!</v>
      </c>
      <c r="C98" s="332" t="s">
        <v>98</v>
      </c>
      <c r="D98" s="334" t="e">
        <f>D97*$B$83/100</f>
        <v>#DIV/0!</v>
      </c>
      <c r="E98" s="275"/>
      <c r="F98" s="274" t="e">
        <f>F97*$B$83/100</f>
        <v>#DIV/0!</v>
      </c>
    </row>
    <row r="99" spans="1:10" ht="19.5" customHeight="1" thickBot="1" x14ac:dyDescent="0.35">
      <c r="A99" s="529" t="s">
        <v>61</v>
      </c>
      <c r="B99" s="530"/>
      <c r="C99" s="332" t="s">
        <v>99</v>
      </c>
      <c r="D99" s="335" t="e">
        <f>D98/$B$98</f>
        <v>#DIV/0!</v>
      </c>
      <c r="E99" s="275"/>
      <c r="F99" s="278" t="e">
        <f>F98/$B$98</f>
        <v>#DIV/0!</v>
      </c>
      <c r="H99" s="268"/>
    </row>
    <row r="100" spans="1:10" ht="19.5" customHeight="1" thickBot="1" x14ac:dyDescent="0.35">
      <c r="A100" s="531"/>
      <c r="B100" s="532"/>
      <c r="C100" s="332" t="s">
        <v>63</v>
      </c>
      <c r="D100" s="336" t="e">
        <f>$B$56/$B$116</f>
        <v>#DIV/0!</v>
      </c>
      <c r="F100" s="283"/>
      <c r="G100" s="337"/>
      <c r="H100" s="268"/>
    </row>
    <row r="101" spans="1:10" ht="18.75" x14ac:dyDescent="0.3">
      <c r="C101" s="332" t="s">
        <v>64</v>
      </c>
      <c r="D101" s="333" t="e">
        <f>D100*$B$98</f>
        <v>#DIV/0!</v>
      </c>
      <c r="F101" s="283"/>
      <c r="H101" s="268"/>
    </row>
    <row r="102" spans="1:10" ht="19.5" customHeight="1" thickBot="1" x14ac:dyDescent="0.35">
      <c r="C102" s="338" t="s">
        <v>65</v>
      </c>
      <c r="D102" s="339" t="e">
        <f>D101/B34</f>
        <v>#DIV/0!</v>
      </c>
      <c r="F102" s="287"/>
      <c r="H102" s="268"/>
      <c r="J102" s="340"/>
    </row>
    <row r="103" spans="1:10" ht="18.75" x14ac:dyDescent="0.3">
      <c r="C103" s="341" t="s">
        <v>100</v>
      </c>
      <c r="D103" s="342" t="e">
        <f>AVERAGE(E91:E94,G91:G94)</f>
        <v>#DIV/0!</v>
      </c>
      <c r="F103" s="287"/>
      <c r="G103" s="337"/>
      <c r="H103" s="268"/>
      <c r="J103" s="343"/>
    </row>
    <row r="104" spans="1:10" ht="18.75" x14ac:dyDescent="0.3">
      <c r="C104" s="315" t="s">
        <v>67</v>
      </c>
      <c r="D104" s="344" t="e">
        <f>STDEV(E91:E94,G91:G94)/D103</f>
        <v>#DIV/0!</v>
      </c>
      <c r="F104" s="287"/>
      <c r="H104" s="268"/>
      <c r="J104" s="343"/>
    </row>
    <row r="105" spans="1:10" ht="19.5" customHeight="1" thickBot="1" x14ac:dyDescent="0.35">
      <c r="C105" s="317" t="s">
        <v>8</v>
      </c>
      <c r="D105" s="345">
        <f>COUNT(E91:E94,G91:G94)</f>
        <v>0</v>
      </c>
      <c r="F105" s="287"/>
      <c r="H105" s="268"/>
      <c r="J105" s="343"/>
    </row>
    <row r="106" spans="1:10" ht="19.5" customHeight="1" thickBot="1" x14ac:dyDescent="0.35">
      <c r="A106" s="291"/>
      <c r="B106" s="291"/>
      <c r="C106" s="291"/>
      <c r="D106" s="291"/>
      <c r="E106" s="291"/>
    </row>
    <row r="107" spans="1:10" ht="27" customHeight="1" thickBot="1" x14ac:dyDescent="0.45">
      <c r="A107" s="241" t="s">
        <v>101</v>
      </c>
      <c r="B107" s="242"/>
      <c r="C107" s="297" t="s">
        <v>102</v>
      </c>
      <c r="D107" s="297" t="s">
        <v>46</v>
      </c>
      <c r="E107" s="297" t="s">
        <v>103</v>
      </c>
      <c r="F107" s="346" t="s">
        <v>104</v>
      </c>
    </row>
    <row r="108" spans="1:10" ht="26.25" customHeight="1" x14ac:dyDescent="0.4">
      <c r="A108" s="243" t="s">
        <v>105</v>
      </c>
      <c r="B108" s="244"/>
      <c r="C108" s="298">
        <v>1</v>
      </c>
      <c r="D108" s="347"/>
      <c r="E108" s="348" t="str">
        <f t="shared" ref="E108:E113" si="1">IF(ISBLANK(D108),"-",D108/$D$103*$D$100*$B$116)</f>
        <v>-</v>
      </c>
      <c r="F108" s="349" t="str">
        <f t="shared" ref="F108:F113" si="2">IF(ISBLANK(D108), "-", (E108/$B$56)*100)</f>
        <v>-</v>
      </c>
    </row>
    <row r="109" spans="1:10" ht="26.25" customHeight="1" x14ac:dyDescent="0.4">
      <c r="A109" s="243" t="s">
        <v>78</v>
      </c>
      <c r="B109" s="244"/>
      <c r="C109" s="302">
        <v>2</v>
      </c>
      <c r="D109" s="350"/>
      <c r="E109" s="351" t="str">
        <f t="shared" si="1"/>
        <v>-</v>
      </c>
      <c r="F109" s="352" t="str">
        <f t="shared" si="2"/>
        <v>-</v>
      </c>
    </row>
    <row r="110" spans="1:10" ht="26.25" customHeight="1" x14ac:dyDescent="0.4">
      <c r="A110" s="243" t="s">
        <v>79</v>
      </c>
      <c r="B110" s="244">
        <v>1</v>
      </c>
      <c r="C110" s="302">
        <v>3</v>
      </c>
      <c r="D110" s="350"/>
      <c r="E110" s="351" t="str">
        <f t="shared" si="1"/>
        <v>-</v>
      </c>
      <c r="F110" s="352" t="str">
        <f t="shared" si="2"/>
        <v>-</v>
      </c>
    </row>
    <row r="111" spans="1:10" ht="26.25" customHeight="1" x14ac:dyDescent="0.4">
      <c r="A111" s="243" t="s">
        <v>80</v>
      </c>
      <c r="B111" s="244">
        <v>1</v>
      </c>
      <c r="C111" s="302">
        <v>4</v>
      </c>
      <c r="D111" s="350"/>
      <c r="E111" s="351" t="str">
        <f t="shared" si="1"/>
        <v>-</v>
      </c>
      <c r="F111" s="352" t="str">
        <f t="shared" si="2"/>
        <v>-</v>
      </c>
    </row>
    <row r="112" spans="1:10" ht="26.25" customHeight="1" x14ac:dyDescent="0.4">
      <c r="A112" s="243" t="s">
        <v>81</v>
      </c>
      <c r="B112" s="244">
        <v>1</v>
      </c>
      <c r="C112" s="302">
        <v>5</v>
      </c>
      <c r="D112" s="350"/>
      <c r="E112" s="351" t="str">
        <f t="shared" si="1"/>
        <v>-</v>
      </c>
      <c r="F112" s="352" t="str">
        <f t="shared" si="2"/>
        <v>-</v>
      </c>
    </row>
    <row r="113" spans="1:10" ht="27" customHeight="1" thickBot="1" x14ac:dyDescent="0.45">
      <c r="A113" s="243" t="s">
        <v>83</v>
      </c>
      <c r="B113" s="244">
        <v>1</v>
      </c>
      <c r="C113" s="306">
        <v>6</v>
      </c>
      <c r="D113" s="353"/>
      <c r="E113" s="354" t="str">
        <f t="shared" si="1"/>
        <v>-</v>
      </c>
      <c r="F113" s="355" t="str">
        <f t="shared" si="2"/>
        <v>-</v>
      </c>
    </row>
    <row r="114" spans="1:10" ht="27" customHeight="1" thickBot="1" x14ac:dyDescent="0.45">
      <c r="A114" s="243" t="s">
        <v>84</v>
      </c>
      <c r="B114" s="244">
        <v>1</v>
      </c>
      <c r="C114" s="356"/>
      <c r="D114" s="273"/>
      <c r="E114" s="215"/>
      <c r="F114" s="352"/>
    </row>
    <row r="115" spans="1:10" ht="26.25" customHeight="1" x14ac:dyDescent="0.4">
      <c r="A115" s="243" t="s">
        <v>85</v>
      </c>
      <c r="B115" s="244">
        <v>1</v>
      </c>
      <c r="C115" s="356"/>
      <c r="D115" s="357" t="s">
        <v>54</v>
      </c>
      <c r="E115" s="358" t="e">
        <f>AVERAGE(E108:E113)</f>
        <v>#DIV/0!</v>
      </c>
      <c r="F115" s="359" t="e">
        <f>AVERAGE(F108:F113)</f>
        <v>#DIV/0!</v>
      </c>
    </row>
    <row r="116" spans="1:10" ht="27" customHeight="1" thickBot="1" x14ac:dyDescent="0.45">
      <c r="A116" s="243" t="s">
        <v>86</v>
      </c>
      <c r="B116" s="255" t="e">
        <f>(B115/B114)*(B113/B112)*(B111/B110)*(B109/B108)*B107</f>
        <v>#DIV/0!</v>
      </c>
      <c r="C116" s="360"/>
      <c r="D116" s="361" t="s">
        <v>67</v>
      </c>
      <c r="E116" s="316" t="e">
        <f>STDEV(E108:E113)/E115</f>
        <v>#DIV/0!</v>
      </c>
      <c r="F116" s="362" t="e">
        <f>STDEV(F108:F113)/F115</f>
        <v>#DIV/0!</v>
      </c>
      <c r="I116" s="215"/>
    </row>
    <row r="117" spans="1:10" ht="27" customHeight="1" thickBot="1" x14ac:dyDescent="0.45">
      <c r="A117" s="529" t="s">
        <v>61</v>
      </c>
      <c r="B117" s="533"/>
      <c r="C117" s="363"/>
      <c r="D117" s="317" t="s">
        <v>8</v>
      </c>
      <c r="E117" s="364">
        <f>COUNT(E108:E113)</f>
        <v>0</v>
      </c>
      <c r="F117" s="365">
        <f>COUNT(F108:F113)</f>
        <v>0</v>
      </c>
      <c r="I117" s="215"/>
      <c r="J117" s="343"/>
    </row>
    <row r="118" spans="1:10" ht="26.25" customHeight="1" thickBot="1" x14ac:dyDescent="0.35">
      <c r="A118" s="531"/>
      <c r="B118" s="534"/>
      <c r="C118" s="215"/>
      <c r="D118" s="366"/>
      <c r="E118" s="535" t="s">
        <v>106</v>
      </c>
      <c r="F118" s="536"/>
      <c r="G118" s="215"/>
      <c r="H118" s="215"/>
      <c r="I118" s="215"/>
    </row>
    <row r="119" spans="1:10" ht="25.5" customHeight="1" x14ac:dyDescent="0.4">
      <c r="A119" s="367"/>
      <c r="B119" s="239"/>
      <c r="C119" s="215"/>
      <c r="D119" s="361" t="s">
        <v>107</v>
      </c>
      <c r="E119" s="368">
        <f>MIN(E108:E113)</f>
        <v>0</v>
      </c>
      <c r="F119" s="369">
        <f>MIN(F108:F113)</f>
        <v>0</v>
      </c>
      <c r="G119" s="215"/>
      <c r="H119" s="215"/>
      <c r="I119" s="215"/>
    </row>
    <row r="120" spans="1:10" ht="24" customHeight="1" thickBot="1" x14ac:dyDescent="0.45">
      <c r="A120" s="367"/>
      <c r="B120" s="239"/>
      <c r="C120" s="215"/>
      <c r="D120" s="284" t="s">
        <v>108</v>
      </c>
      <c r="E120" s="370">
        <f>MAX(E108:E113)</f>
        <v>0</v>
      </c>
      <c r="F120" s="371">
        <f>MAX(F108:F113)</f>
        <v>0</v>
      </c>
      <c r="G120" s="215"/>
      <c r="H120" s="215"/>
      <c r="I120" s="215"/>
    </row>
    <row r="121" spans="1:10" ht="27" customHeight="1" x14ac:dyDescent="0.3">
      <c r="A121" s="367"/>
      <c r="B121" s="239"/>
      <c r="C121" s="215"/>
      <c r="D121" s="215"/>
      <c r="E121" s="215"/>
      <c r="F121" s="273"/>
      <c r="G121" s="215"/>
      <c r="H121" s="215"/>
      <c r="I121" s="215"/>
    </row>
    <row r="122" spans="1:10" ht="25.5" customHeight="1" x14ac:dyDescent="0.3">
      <c r="A122" s="367"/>
      <c r="B122" s="239"/>
      <c r="C122" s="215"/>
      <c r="D122" s="215"/>
      <c r="E122" s="215"/>
      <c r="F122" s="273"/>
      <c r="G122" s="215"/>
      <c r="H122" s="215"/>
      <c r="I122" s="215"/>
    </row>
    <row r="123" spans="1:10" ht="18.75" x14ac:dyDescent="0.3">
      <c r="A123" s="367"/>
      <c r="B123" s="239"/>
      <c r="C123" s="215"/>
      <c r="D123" s="215"/>
      <c r="E123" s="215"/>
      <c r="F123" s="273"/>
      <c r="G123" s="215"/>
      <c r="H123" s="215"/>
      <c r="I123" s="215"/>
    </row>
    <row r="124" spans="1:10" ht="45.75" customHeight="1" x14ac:dyDescent="0.65">
      <c r="A124" s="226" t="s">
        <v>89</v>
      </c>
      <c r="B124" s="227" t="s">
        <v>109</v>
      </c>
      <c r="C124" s="537" t="str">
        <f>B26</f>
        <v>ISONIAZID</v>
      </c>
      <c r="D124" s="537"/>
      <c r="E124" s="215" t="s">
        <v>110</v>
      </c>
      <c r="F124" s="215"/>
      <c r="G124" s="372" t="e">
        <f>F115</f>
        <v>#DIV/0!</v>
      </c>
      <c r="H124" s="215"/>
      <c r="I124" s="215"/>
    </row>
    <row r="125" spans="1:10" ht="45.75" customHeight="1" x14ac:dyDescent="0.65">
      <c r="A125" s="226"/>
      <c r="B125" s="227" t="s">
        <v>111</v>
      </c>
      <c r="C125" s="227" t="s">
        <v>112</v>
      </c>
      <c r="D125" s="372">
        <f>MIN(F108:F113)</f>
        <v>0</v>
      </c>
      <c r="E125" s="227" t="s">
        <v>113</v>
      </c>
      <c r="F125" s="372">
        <f>MAX(F108:F113)</f>
        <v>0</v>
      </c>
      <c r="G125" s="373"/>
      <c r="H125" s="215"/>
      <c r="I125" s="215"/>
    </row>
    <row r="126" spans="1:10" ht="19.5" customHeight="1" thickBot="1" x14ac:dyDescent="0.35">
      <c r="A126" s="374"/>
      <c r="B126" s="374"/>
      <c r="C126" s="375"/>
      <c r="D126" s="375"/>
      <c r="E126" s="375"/>
      <c r="F126" s="375"/>
      <c r="G126" s="375"/>
      <c r="H126" s="375"/>
    </row>
    <row r="127" spans="1:10" ht="18.75" x14ac:dyDescent="0.3">
      <c r="B127" s="538" t="s">
        <v>9</v>
      </c>
      <c r="C127" s="538"/>
      <c r="E127" s="322" t="s">
        <v>10</v>
      </c>
      <c r="F127" s="376"/>
      <c r="G127" s="538" t="s">
        <v>11</v>
      </c>
      <c r="H127" s="538"/>
    </row>
    <row r="128" spans="1:10" ht="69.95" customHeight="1" x14ac:dyDescent="0.3">
      <c r="A128" s="226" t="s">
        <v>12</v>
      </c>
      <c r="B128" s="377"/>
      <c r="C128" s="377"/>
      <c r="E128" s="377"/>
      <c r="F128" s="215"/>
      <c r="G128" s="377"/>
      <c r="H128" s="377"/>
    </row>
    <row r="129" spans="1:9" ht="69.95" customHeight="1" x14ac:dyDescent="0.3">
      <c r="A129" s="226" t="s">
        <v>13</v>
      </c>
      <c r="B129" s="378"/>
      <c r="C129" s="378"/>
      <c r="E129" s="378"/>
      <c r="F129" s="215"/>
      <c r="G129" s="379"/>
      <c r="H129" s="379"/>
    </row>
    <row r="130" spans="1:9" ht="18.75" x14ac:dyDescent="0.3">
      <c r="A130" s="273"/>
      <c r="B130" s="273"/>
      <c r="C130" s="273"/>
      <c r="D130" s="273"/>
      <c r="E130" s="273"/>
      <c r="F130" s="275"/>
      <c r="G130" s="273"/>
      <c r="H130" s="273"/>
      <c r="I130" s="215"/>
    </row>
    <row r="131" spans="1:9" ht="18.75" x14ac:dyDescent="0.3">
      <c r="A131" s="273"/>
      <c r="B131" s="273"/>
      <c r="C131" s="273"/>
      <c r="D131" s="273"/>
      <c r="E131" s="273"/>
      <c r="F131" s="275"/>
      <c r="G131" s="273"/>
      <c r="H131" s="273"/>
      <c r="I131" s="215"/>
    </row>
    <row r="132" spans="1:9" ht="18.75" x14ac:dyDescent="0.3">
      <c r="A132" s="273"/>
      <c r="B132" s="273"/>
      <c r="C132" s="273"/>
      <c r="D132" s="273"/>
      <c r="E132" s="273"/>
      <c r="F132" s="275"/>
      <c r="G132" s="273"/>
      <c r="H132" s="273"/>
      <c r="I132" s="215"/>
    </row>
    <row r="133" spans="1:9" ht="18.75" x14ac:dyDescent="0.3">
      <c r="A133" s="273"/>
      <c r="B133" s="273"/>
      <c r="C133" s="273"/>
      <c r="D133" s="273"/>
      <c r="E133" s="273"/>
      <c r="F133" s="275"/>
      <c r="G133" s="273"/>
      <c r="H133" s="273"/>
      <c r="I133" s="215"/>
    </row>
    <row r="134" spans="1:9" ht="18.75" x14ac:dyDescent="0.3">
      <c r="A134" s="273"/>
      <c r="B134" s="273"/>
      <c r="C134" s="273"/>
      <c r="D134" s="273"/>
      <c r="E134" s="273"/>
      <c r="F134" s="275"/>
      <c r="G134" s="273"/>
      <c r="H134" s="273"/>
      <c r="I134" s="215"/>
    </row>
    <row r="135" spans="1:9" ht="18.75" x14ac:dyDescent="0.3">
      <c r="A135" s="273"/>
      <c r="B135" s="273"/>
      <c r="C135" s="273"/>
      <c r="D135" s="273"/>
      <c r="E135" s="273"/>
      <c r="F135" s="275"/>
      <c r="G135" s="273"/>
      <c r="H135" s="273"/>
      <c r="I135" s="215"/>
    </row>
    <row r="136" spans="1:9" ht="18.75" x14ac:dyDescent="0.3">
      <c r="A136" s="273"/>
      <c r="B136" s="273"/>
      <c r="C136" s="273"/>
      <c r="D136" s="273"/>
      <c r="E136" s="273"/>
      <c r="F136" s="275"/>
      <c r="G136" s="273"/>
      <c r="H136" s="273"/>
      <c r="I136" s="215"/>
    </row>
    <row r="137" spans="1:9" ht="18.75" x14ac:dyDescent="0.3">
      <c r="A137" s="273"/>
      <c r="B137" s="273"/>
      <c r="C137" s="273"/>
      <c r="D137" s="273"/>
      <c r="E137" s="273"/>
      <c r="F137" s="275"/>
      <c r="G137" s="273"/>
      <c r="H137" s="273"/>
      <c r="I137" s="215"/>
    </row>
    <row r="138" spans="1:9" ht="18.75" x14ac:dyDescent="0.3">
      <c r="A138" s="273"/>
      <c r="B138" s="273"/>
      <c r="C138" s="273"/>
      <c r="D138" s="273"/>
      <c r="E138" s="273"/>
      <c r="F138" s="275"/>
      <c r="G138" s="273"/>
      <c r="H138" s="273"/>
      <c r="I138" s="215"/>
    </row>
    <row r="250" spans="1:1" x14ac:dyDescent="0.25">
      <c r="A250" s="214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zoomScale="83" zoomScaleNormal="83" workbookViewId="0">
      <selection activeCell="B25" sqref="B25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 x14ac:dyDescent="0.3">
      <c r="A14" s="424"/>
      <c r="C14" s="425"/>
      <c r="F14" s="425"/>
    </row>
    <row r="15" spans="1:6" ht="18.75" customHeight="1" x14ac:dyDescent="0.3">
      <c r="A15" s="477" t="s">
        <v>125</v>
      </c>
      <c r="B15" s="477"/>
      <c r="C15" s="477"/>
      <c r="D15" s="477"/>
      <c r="E15" s="477"/>
    </row>
    <row r="16" spans="1:6" ht="16.5" customHeight="1" x14ac:dyDescent="0.3">
      <c r="A16" s="426" t="s">
        <v>0</v>
      </c>
      <c r="B16" s="427" t="s">
        <v>126</v>
      </c>
    </row>
    <row r="17" spans="1:6" ht="16.5" customHeight="1" x14ac:dyDescent="0.3">
      <c r="A17" s="428" t="s">
        <v>127</v>
      </c>
      <c r="B17" s="428" t="s">
        <v>114</v>
      </c>
      <c r="D17" s="429"/>
      <c r="E17" s="430"/>
    </row>
    <row r="18" spans="1:6" ht="16.5" customHeight="1" x14ac:dyDescent="0.3">
      <c r="A18" s="431" t="s">
        <v>1</v>
      </c>
      <c r="B18" s="473" t="s">
        <v>146</v>
      </c>
      <c r="C18" s="430"/>
      <c r="D18" s="430"/>
      <c r="E18" s="430"/>
    </row>
    <row r="19" spans="1:6" ht="16.5" customHeight="1" x14ac:dyDescent="0.3">
      <c r="A19" s="431" t="s">
        <v>3</v>
      </c>
      <c r="B19" s="432">
        <v>99.5</v>
      </c>
      <c r="C19" s="430"/>
      <c r="D19" s="430"/>
      <c r="E19" s="430"/>
    </row>
    <row r="20" spans="1:6" ht="16.5" customHeight="1" x14ac:dyDescent="0.3">
      <c r="A20" s="428" t="s">
        <v>128</v>
      </c>
      <c r="B20" s="432">
        <v>22.23</v>
      </c>
      <c r="C20" s="430"/>
      <c r="D20" s="430"/>
      <c r="E20" s="430"/>
    </row>
    <row r="21" spans="1:6" ht="16.5" customHeight="1" x14ac:dyDescent="0.3">
      <c r="A21" s="428" t="s">
        <v>129</v>
      </c>
      <c r="B21" s="433">
        <f>B20/50</f>
        <v>0.4446</v>
      </c>
      <c r="C21" s="430"/>
      <c r="D21" s="430"/>
      <c r="E21" s="430"/>
    </row>
    <row r="22" spans="1:6" ht="15.75" customHeight="1" x14ac:dyDescent="0.25">
      <c r="A22" s="430"/>
      <c r="B22" s="430" t="s">
        <v>118</v>
      </c>
      <c r="C22" s="430"/>
      <c r="D22" s="430"/>
      <c r="E22" s="430"/>
    </row>
    <row r="23" spans="1:6" ht="16.5" customHeight="1" x14ac:dyDescent="0.3">
      <c r="A23" s="64" t="s">
        <v>130</v>
      </c>
      <c r="B23" s="434" t="s">
        <v>131</v>
      </c>
      <c r="C23" s="64" t="s">
        <v>132</v>
      </c>
      <c r="D23" s="64" t="s">
        <v>133</v>
      </c>
      <c r="E23" s="434" t="s">
        <v>134</v>
      </c>
      <c r="F23" s="471" t="s">
        <v>145</v>
      </c>
    </row>
    <row r="24" spans="1:6" ht="16.5" customHeight="1" x14ac:dyDescent="0.3">
      <c r="A24" s="435">
        <v>1</v>
      </c>
      <c r="B24" s="436">
        <v>74001285</v>
      </c>
      <c r="C24" s="436">
        <v>12440.9</v>
      </c>
      <c r="D24" s="437">
        <v>0.9</v>
      </c>
      <c r="E24" s="464">
        <v>5.2</v>
      </c>
      <c r="F24" s="472">
        <v>5.4</v>
      </c>
    </row>
    <row r="25" spans="1:6" ht="16.5" customHeight="1" x14ac:dyDescent="0.3">
      <c r="A25" s="435">
        <v>2</v>
      </c>
      <c r="B25" s="436">
        <v>74180771</v>
      </c>
      <c r="C25" s="436">
        <v>12325.4</v>
      </c>
      <c r="D25" s="437">
        <v>0.9</v>
      </c>
      <c r="E25" s="465">
        <v>5.2</v>
      </c>
      <c r="F25" s="472">
        <v>5.4</v>
      </c>
    </row>
    <row r="26" spans="1:6" ht="16.5" customHeight="1" x14ac:dyDescent="0.3">
      <c r="A26" s="435">
        <v>3</v>
      </c>
      <c r="B26" s="436">
        <v>74205424</v>
      </c>
      <c r="C26" s="436">
        <v>12322.4</v>
      </c>
      <c r="D26" s="437">
        <v>0.9</v>
      </c>
      <c r="E26" s="465">
        <v>5.2</v>
      </c>
      <c r="F26" s="472">
        <v>5.4</v>
      </c>
    </row>
    <row r="27" spans="1:6" ht="16.5" customHeight="1" x14ac:dyDescent="0.3">
      <c r="A27" s="435">
        <v>4</v>
      </c>
      <c r="B27" s="436">
        <v>74247436</v>
      </c>
      <c r="C27" s="436">
        <v>12364.6</v>
      </c>
      <c r="D27" s="437">
        <v>0.9</v>
      </c>
      <c r="E27" s="465">
        <v>5.2</v>
      </c>
      <c r="F27" s="472">
        <v>5.4</v>
      </c>
    </row>
    <row r="28" spans="1:6" ht="16.5" customHeight="1" x14ac:dyDescent="0.3">
      <c r="A28" s="435">
        <v>5</v>
      </c>
      <c r="B28" s="436">
        <v>74101895</v>
      </c>
      <c r="C28" s="436">
        <v>12438.9</v>
      </c>
      <c r="D28" s="437">
        <v>0.9</v>
      </c>
      <c r="E28" s="465">
        <v>5.2</v>
      </c>
      <c r="F28" s="472">
        <v>5.4</v>
      </c>
    </row>
    <row r="29" spans="1:6" ht="16.5" customHeight="1" x14ac:dyDescent="0.3">
      <c r="A29" s="435">
        <v>6</v>
      </c>
      <c r="B29" s="439">
        <v>73902301</v>
      </c>
      <c r="C29" s="439">
        <v>12538.6</v>
      </c>
      <c r="D29" s="440">
        <v>0.9</v>
      </c>
      <c r="E29" s="466">
        <v>5.2</v>
      </c>
      <c r="F29" s="472">
        <v>5.4</v>
      </c>
    </row>
    <row r="30" spans="1:6" ht="16.5" customHeight="1" x14ac:dyDescent="0.3">
      <c r="A30" s="441" t="s">
        <v>135</v>
      </c>
      <c r="B30" s="442">
        <f>AVERAGE(B24:B29)</f>
        <v>74106518.666666672</v>
      </c>
      <c r="C30" s="443">
        <f>AVERAGE(C24:C29)</f>
        <v>12405.133333333333</v>
      </c>
      <c r="D30" s="444">
        <v>0.9</v>
      </c>
      <c r="E30" s="467">
        <f>AVERAGE(E24:E29)</f>
        <v>5.2</v>
      </c>
      <c r="F30" s="467">
        <f>AVERAGE(F24:F29)</f>
        <v>5.3999999999999995</v>
      </c>
    </row>
    <row r="31" spans="1:6" ht="16.5" customHeight="1" x14ac:dyDescent="0.3">
      <c r="A31" s="445" t="s">
        <v>136</v>
      </c>
      <c r="B31" s="446">
        <f>(STDEV(B24:B29)/B30)</f>
        <v>1.789722549153571E-3</v>
      </c>
      <c r="C31" s="447"/>
      <c r="D31" s="447"/>
      <c r="E31" s="468"/>
      <c r="F31" s="469"/>
    </row>
    <row r="32" spans="1:6" s="48" customFormat="1" ht="16.5" customHeight="1" x14ac:dyDescent="0.3">
      <c r="A32" s="449" t="s">
        <v>8</v>
      </c>
      <c r="B32" s="450">
        <f>COUNT(B24:B29)</f>
        <v>6</v>
      </c>
      <c r="C32" s="451"/>
      <c r="D32" s="452"/>
      <c r="E32" s="452"/>
      <c r="F32" s="470"/>
    </row>
    <row r="33" spans="1:5" s="48" customFormat="1" ht="15.75" customHeight="1" x14ac:dyDescent="0.25">
      <c r="A33" s="430"/>
      <c r="B33" s="430"/>
      <c r="C33" s="430"/>
      <c r="D33" s="430"/>
      <c r="E33" s="430"/>
    </row>
    <row r="34" spans="1:5" s="48" customFormat="1" ht="16.5" customHeight="1" x14ac:dyDescent="0.3">
      <c r="A34" s="431" t="s">
        <v>137</v>
      </c>
      <c r="B34" s="454" t="s">
        <v>138</v>
      </c>
      <c r="C34" s="455"/>
      <c r="D34" s="455"/>
      <c r="E34" s="455"/>
    </row>
    <row r="35" spans="1:5" ht="16.5" customHeight="1" x14ac:dyDescent="0.3">
      <c r="A35" s="431"/>
      <c r="B35" s="474" t="s">
        <v>147</v>
      </c>
      <c r="C35" s="455"/>
      <c r="D35" s="455"/>
      <c r="E35" s="455"/>
    </row>
    <row r="36" spans="1:5" ht="16.5" customHeight="1" x14ac:dyDescent="0.3">
      <c r="A36" s="431"/>
      <c r="B36" s="454" t="s">
        <v>140</v>
      </c>
      <c r="C36" s="455"/>
      <c r="D36" s="455"/>
      <c r="E36" s="455"/>
    </row>
    <row r="37" spans="1:5" ht="15.75" customHeight="1" x14ac:dyDescent="0.25">
      <c r="A37" s="430"/>
      <c r="B37" s="430" t="s">
        <v>144</v>
      </c>
      <c r="C37" s="430"/>
      <c r="D37" s="430"/>
      <c r="E37" s="430"/>
    </row>
    <row r="38" spans="1:5" ht="16.5" customHeight="1" x14ac:dyDescent="0.3">
      <c r="A38" s="426" t="s">
        <v>0</v>
      </c>
      <c r="B38" s="427" t="s">
        <v>141</v>
      </c>
    </row>
    <row r="39" spans="1:5" ht="16.5" customHeight="1" x14ac:dyDescent="0.3">
      <c r="A39" s="431" t="s">
        <v>1</v>
      </c>
      <c r="B39" s="428"/>
      <c r="C39" s="430"/>
      <c r="D39" s="430"/>
      <c r="E39" s="430"/>
    </row>
    <row r="40" spans="1:5" ht="16.5" customHeight="1" x14ac:dyDescent="0.3">
      <c r="A40" s="431" t="s">
        <v>3</v>
      </c>
      <c r="B40" s="432"/>
      <c r="C40" s="430"/>
      <c r="D40" s="430"/>
      <c r="E40" s="430"/>
    </row>
    <row r="41" spans="1:5" ht="16.5" customHeight="1" x14ac:dyDescent="0.3">
      <c r="A41" s="428" t="s">
        <v>128</v>
      </c>
      <c r="B41" s="432"/>
      <c r="C41" s="430"/>
      <c r="D41" s="430"/>
      <c r="E41" s="430"/>
    </row>
    <row r="42" spans="1:5" ht="16.5" customHeight="1" x14ac:dyDescent="0.3">
      <c r="A42" s="428" t="s">
        <v>129</v>
      </c>
      <c r="B42" s="433"/>
      <c r="C42" s="430"/>
      <c r="D42" s="430"/>
      <c r="E42" s="430"/>
    </row>
    <row r="43" spans="1:5" ht="15.75" customHeight="1" x14ac:dyDescent="0.25">
      <c r="A43" s="430"/>
      <c r="B43" s="430"/>
      <c r="C43" s="430"/>
      <c r="D43" s="430"/>
      <c r="E43" s="430"/>
    </row>
    <row r="44" spans="1:5" ht="16.5" customHeight="1" x14ac:dyDescent="0.3">
      <c r="A44" s="64" t="s">
        <v>130</v>
      </c>
      <c r="B44" s="434" t="s">
        <v>131</v>
      </c>
      <c r="C44" s="64" t="s">
        <v>132</v>
      </c>
      <c r="D44" s="64" t="s">
        <v>133</v>
      </c>
      <c r="E44" s="64" t="s">
        <v>134</v>
      </c>
    </row>
    <row r="45" spans="1:5" ht="16.5" customHeight="1" x14ac:dyDescent="0.3">
      <c r="A45" s="435">
        <v>1</v>
      </c>
      <c r="B45" s="436"/>
      <c r="C45" s="436"/>
      <c r="D45" s="437"/>
      <c r="E45" s="438"/>
    </row>
    <row r="46" spans="1:5" ht="16.5" customHeight="1" x14ac:dyDescent="0.3">
      <c r="A46" s="435">
        <v>2</v>
      </c>
      <c r="B46" s="436"/>
      <c r="C46" s="436"/>
      <c r="D46" s="437"/>
      <c r="E46" s="437"/>
    </row>
    <row r="47" spans="1:5" ht="16.5" customHeight="1" x14ac:dyDescent="0.3">
      <c r="A47" s="435">
        <v>3</v>
      </c>
      <c r="B47" s="436"/>
      <c r="C47" s="436"/>
      <c r="D47" s="437"/>
      <c r="E47" s="437"/>
    </row>
    <row r="48" spans="1:5" ht="16.5" customHeight="1" x14ac:dyDescent="0.3">
      <c r="A48" s="435">
        <v>4</v>
      </c>
      <c r="B48" s="436"/>
      <c r="C48" s="436"/>
      <c r="D48" s="437"/>
      <c r="E48" s="437"/>
    </row>
    <row r="49" spans="1:7" ht="16.5" customHeight="1" x14ac:dyDescent="0.3">
      <c r="A49" s="435">
        <v>5</v>
      </c>
      <c r="B49" s="436"/>
      <c r="C49" s="436"/>
      <c r="D49" s="437"/>
      <c r="E49" s="437"/>
    </row>
    <row r="50" spans="1:7" ht="16.5" customHeight="1" x14ac:dyDescent="0.3">
      <c r="A50" s="435">
        <v>6</v>
      </c>
      <c r="B50" s="439"/>
      <c r="C50" s="439"/>
      <c r="D50" s="440"/>
      <c r="E50" s="440"/>
    </row>
    <row r="51" spans="1:7" ht="16.5" customHeight="1" x14ac:dyDescent="0.3">
      <c r="A51" s="441" t="s">
        <v>135</v>
      </c>
      <c r="B51" s="442" t="e">
        <f>AVERAGE(B45:B50)</f>
        <v>#DIV/0!</v>
      </c>
      <c r="C51" s="443" t="e">
        <f>AVERAGE(C45:C50)</f>
        <v>#DIV/0!</v>
      </c>
      <c r="D51" s="444" t="e">
        <f>AVERAGE(D45:D50)</f>
        <v>#DIV/0!</v>
      </c>
      <c r="E51" s="444" t="e">
        <f>AVERAGE(E45:E50)</f>
        <v>#DIV/0!</v>
      </c>
    </row>
    <row r="52" spans="1:7" ht="16.5" customHeight="1" x14ac:dyDescent="0.3">
      <c r="A52" s="445" t="s">
        <v>136</v>
      </c>
      <c r="B52" s="446" t="e">
        <f>(STDEV(B45:B50)/B51)</f>
        <v>#DIV/0!</v>
      </c>
      <c r="C52" s="447"/>
      <c r="D52" s="447"/>
      <c r="E52" s="448"/>
    </row>
    <row r="53" spans="1:7" s="48" customFormat="1" ht="16.5" customHeight="1" x14ac:dyDescent="0.3">
      <c r="A53" s="449" t="s">
        <v>8</v>
      </c>
      <c r="B53" s="450">
        <f>COUNT(B45:B50)</f>
        <v>0</v>
      </c>
      <c r="C53" s="451"/>
      <c r="D53" s="452"/>
      <c r="E53" s="453"/>
    </row>
    <row r="54" spans="1:7" s="48" customFormat="1" ht="15.75" customHeight="1" x14ac:dyDescent="0.25">
      <c r="A54" s="430"/>
      <c r="B54" s="430"/>
      <c r="C54" s="430"/>
      <c r="D54" s="430"/>
      <c r="E54" s="430"/>
    </row>
    <row r="55" spans="1:7" s="48" customFormat="1" ht="16.5" customHeight="1" x14ac:dyDescent="0.3">
      <c r="A55" s="431" t="s">
        <v>137</v>
      </c>
      <c r="B55" s="454" t="s">
        <v>138</v>
      </c>
      <c r="C55" s="455"/>
      <c r="D55" s="455"/>
      <c r="E55" s="455"/>
    </row>
    <row r="56" spans="1:7" ht="16.5" customHeight="1" x14ac:dyDescent="0.3">
      <c r="A56" s="431"/>
      <c r="B56" s="454" t="s">
        <v>142</v>
      </c>
      <c r="C56" s="455"/>
      <c r="D56" s="455"/>
      <c r="E56" s="455"/>
    </row>
    <row r="57" spans="1:7" ht="16.5" customHeight="1" x14ac:dyDescent="0.3">
      <c r="A57" s="431"/>
      <c r="B57" s="454" t="s">
        <v>140</v>
      </c>
      <c r="C57" s="455"/>
      <c r="D57" s="455"/>
      <c r="E57" s="455"/>
    </row>
    <row r="58" spans="1:7" ht="14.25" customHeight="1" thickBot="1" x14ac:dyDescent="0.3">
      <c r="A58" s="456"/>
      <c r="B58" s="102"/>
      <c r="D58" s="457"/>
      <c r="F58" s="50"/>
      <c r="G58" s="50"/>
    </row>
    <row r="59" spans="1:7" ht="15" customHeight="1" x14ac:dyDescent="0.3">
      <c r="B59" s="478" t="s">
        <v>9</v>
      </c>
      <c r="C59" s="478"/>
      <c r="E59" s="458" t="s">
        <v>10</v>
      </c>
      <c r="F59" s="459"/>
      <c r="G59" s="458" t="s">
        <v>11</v>
      </c>
    </row>
    <row r="60" spans="1:7" ht="15" customHeight="1" x14ac:dyDescent="0.3">
      <c r="A60" s="460" t="s">
        <v>12</v>
      </c>
      <c r="B60" s="461"/>
      <c r="C60" s="461"/>
      <c r="E60" s="461"/>
      <c r="G60" s="461"/>
    </row>
    <row r="61" spans="1:7" ht="15" customHeight="1" x14ac:dyDescent="0.3">
      <c r="A61" s="460" t="s">
        <v>13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0" zoomScale="55" zoomScaleNormal="40" zoomScaleSheetLayoutView="55" zoomScalePageLayoutView="40" workbookViewId="0">
      <selection activeCell="F62" sqref="F62"/>
    </sheetView>
  </sheetViews>
  <sheetFormatPr defaultColWidth="9.140625" defaultRowHeight="13.5" x14ac:dyDescent="0.25"/>
  <cols>
    <col min="1" max="1" width="55.42578125" style="214" customWidth="1"/>
    <col min="2" max="2" width="33.7109375" style="214" customWidth="1"/>
    <col min="3" max="3" width="42.28515625" style="214" customWidth="1"/>
    <col min="4" max="4" width="30.5703125" style="214" customWidth="1"/>
    <col min="5" max="5" width="39.85546875" style="214" customWidth="1"/>
    <col min="6" max="6" width="30.7109375" style="214" customWidth="1"/>
    <col min="7" max="7" width="39.85546875" style="214" customWidth="1"/>
    <col min="8" max="8" width="30" style="214" customWidth="1"/>
    <col min="9" max="9" width="30.28515625" style="214" hidden="1" customWidth="1"/>
    <col min="10" max="10" width="30.42578125" style="214" customWidth="1"/>
    <col min="11" max="11" width="21.28515625" style="214" customWidth="1"/>
    <col min="12" max="12" width="9.140625" style="214"/>
    <col min="13" max="16384" width="9.140625" style="216"/>
  </cols>
  <sheetData>
    <row r="1" spans="1:9" ht="18.75" customHeight="1" x14ac:dyDescent="0.25">
      <c r="A1" s="560" t="s">
        <v>28</v>
      </c>
      <c r="B1" s="560"/>
      <c r="C1" s="560"/>
      <c r="D1" s="560"/>
      <c r="E1" s="560"/>
      <c r="F1" s="560"/>
      <c r="G1" s="560"/>
      <c r="H1" s="560"/>
      <c r="I1" s="560"/>
    </row>
    <row r="2" spans="1:9" ht="18.75" customHeight="1" x14ac:dyDescent="0.25">
      <c r="A2" s="560"/>
      <c r="B2" s="560"/>
      <c r="C2" s="560"/>
      <c r="D2" s="560"/>
      <c r="E2" s="560"/>
      <c r="F2" s="560"/>
      <c r="G2" s="560"/>
      <c r="H2" s="560"/>
      <c r="I2" s="560"/>
    </row>
    <row r="3" spans="1:9" ht="18.75" customHeight="1" x14ac:dyDescent="0.25">
      <c r="A3" s="560"/>
      <c r="B3" s="560"/>
      <c r="C3" s="560"/>
      <c r="D3" s="560"/>
      <c r="E3" s="560"/>
      <c r="F3" s="560"/>
      <c r="G3" s="560"/>
      <c r="H3" s="560"/>
      <c r="I3" s="560"/>
    </row>
    <row r="4" spans="1:9" ht="18.75" customHeight="1" x14ac:dyDescent="0.25">
      <c r="A4" s="560"/>
      <c r="B4" s="560"/>
      <c r="C4" s="560"/>
      <c r="D4" s="560"/>
      <c r="E4" s="560"/>
      <c r="F4" s="560"/>
      <c r="G4" s="560"/>
      <c r="H4" s="560"/>
      <c r="I4" s="560"/>
    </row>
    <row r="5" spans="1:9" ht="18.75" customHeight="1" x14ac:dyDescent="0.25">
      <c r="A5" s="560"/>
      <c r="B5" s="560"/>
      <c r="C5" s="560"/>
      <c r="D5" s="560"/>
      <c r="E5" s="560"/>
      <c r="F5" s="560"/>
      <c r="G5" s="560"/>
      <c r="H5" s="560"/>
      <c r="I5" s="560"/>
    </row>
    <row r="6" spans="1:9" ht="18.75" customHeight="1" x14ac:dyDescent="0.25">
      <c r="A6" s="560"/>
      <c r="B6" s="560"/>
      <c r="C6" s="560"/>
      <c r="D6" s="560"/>
      <c r="E6" s="560"/>
      <c r="F6" s="560"/>
      <c r="G6" s="560"/>
      <c r="H6" s="560"/>
      <c r="I6" s="560"/>
    </row>
    <row r="7" spans="1:9" ht="18.75" customHeight="1" x14ac:dyDescent="0.25">
      <c r="A7" s="560"/>
      <c r="B7" s="560"/>
      <c r="C7" s="560"/>
      <c r="D7" s="560"/>
      <c r="E7" s="560"/>
      <c r="F7" s="560"/>
      <c r="G7" s="560"/>
      <c r="H7" s="560"/>
      <c r="I7" s="560"/>
    </row>
    <row r="8" spans="1:9" x14ac:dyDescent="0.25">
      <c r="A8" s="561" t="s">
        <v>29</v>
      </c>
      <c r="B8" s="561"/>
      <c r="C8" s="561"/>
      <c r="D8" s="561"/>
      <c r="E8" s="561"/>
      <c r="F8" s="561"/>
      <c r="G8" s="561"/>
      <c r="H8" s="561"/>
      <c r="I8" s="561"/>
    </row>
    <row r="9" spans="1:9" x14ac:dyDescent="0.25">
      <c r="A9" s="561"/>
      <c r="B9" s="561"/>
      <c r="C9" s="561"/>
      <c r="D9" s="561"/>
      <c r="E9" s="561"/>
      <c r="F9" s="561"/>
      <c r="G9" s="561"/>
      <c r="H9" s="561"/>
      <c r="I9" s="561"/>
    </row>
    <row r="10" spans="1:9" x14ac:dyDescent="0.25">
      <c r="A10" s="561"/>
      <c r="B10" s="561"/>
      <c r="C10" s="561"/>
      <c r="D10" s="561"/>
      <c r="E10" s="561"/>
      <c r="F10" s="561"/>
      <c r="G10" s="561"/>
      <c r="H10" s="561"/>
      <c r="I10" s="561"/>
    </row>
    <row r="11" spans="1:9" x14ac:dyDescent="0.25">
      <c r="A11" s="561"/>
      <c r="B11" s="561"/>
      <c r="C11" s="561"/>
      <c r="D11" s="561"/>
      <c r="E11" s="561"/>
      <c r="F11" s="561"/>
      <c r="G11" s="561"/>
      <c r="H11" s="561"/>
      <c r="I11" s="561"/>
    </row>
    <row r="12" spans="1:9" x14ac:dyDescent="0.25">
      <c r="A12" s="561"/>
      <c r="B12" s="561"/>
      <c r="C12" s="561"/>
      <c r="D12" s="561"/>
      <c r="E12" s="561"/>
      <c r="F12" s="561"/>
      <c r="G12" s="561"/>
      <c r="H12" s="561"/>
      <c r="I12" s="561"/>
    </row>
    <row r="13" spans="1:9" x14ac:dyDescent="0.25">
      <c r="A13" s="561"/>
      <c r="B13" s="561"/>
      <c r="C13" s="561"/>
      <c r="D13" s="561"/>
      <c r="E13" s="561"/>
      <c r="F13" s="561"/>
      <c r="G13" s="561"/>
      <c r="H13" s="561"/>
      <c r="I13" s="561"/>
    </row>
    <row r="14" spans="1:9" x14ac:dyDescent="0.25">
      <c r="A14" s="561"/>
      <c r="B14" s="561"/>
      <c r="C14" s="561"/>
      <c r="D14" s="561"/>
      <c r="E14" s="561"/>
      <c r="F14" s="561"/>
      <c r="G14" s="561"/>
      <c r="H14" s="561"/>
      <c r="I14" s="561"/>
    </row>
    <row r="15" spans="1:9" ht="19.5" customHeight="1" thickBot="1" x14ac:dyDescent="0.35">
      <c r="A15" s="215"/>
    </row>
    <row r="16" spans="1:9" ht="19.5" customHeight="1" thickBot="1" x14ac:dyDescent="0.35">
      <c r="A16" s="562" t="s">
        <v>14</v>
      </c>
      <c r="B16" s="563"/>
      <c r="C16" s="563"/>
      <c r="D16" s="563"/>
      <c r="E16" s="563"/>
      <c r="F16" s="563"/>
      <c r="G16" s="563"/>
      <c r="H16" s="564"/>
    </row>
    <row r="17" spans="1:14" ht="20.25" customHeight="1" x14ac:dyDescent="0.25">
      <c r="A17" s="565" t="s">
        <v>30</v>
      </c>
      <c r="B17" s="565"/>
      <c r="C17" s="565"/>
      <c r="D17" s="565"/>
      <c r="E17" s="565"/>
      <c r="F17" s="565"/>
      <c r="G17" s="565"/>
      <c r="H17" s="565"/>
    </row>
    <row r="18" spans="1:14" ht="26.25" customHeight="1" x14ac:dyDescent="0.4">
      <c r="A18" s="217" t="s">
        <v>16</v>
      </c>
      <c r="B18" s="566" t="s">
        <v>114</v>
      </c>
      <c r="C18" s="566"/>
      <c r="D18" s="218"/>
      <c r="E18" s="219"/>
      <c r="F18" s="220"/>
      <c r="G18" s="220"/>
      <c r="H18" s="220"/>
    </row>
    <row r="19" spans="1:14" ht="26.25" customHeight="1" x14ac:dyDescent="0.4">
      <c r="A19" s="217" t="s">
        <v>17</v>
      </c>
      <c r="B19" s="221" t="s">
        <v>115</v>
      </c>
      <c r="C19" s="220">
        <v>1</v>
      </c>
      <c r="D19" s="220"/>
      <c r="E19" s="220"/>
      <c r="F19" s="220"/>
      <c r="G19" s="220"/>
      <c r="H19" s="220"/>
    </row>
    <row r="20" spans="1:14" ht="26.25" customHeight="1" x14ac:dyDescent="0.4">
      <c r="A20" s="217" t="s">
        <v>18</v>
      </c>
      <c r="B20" s="567" t="s">
        <v>124</v>
      </c>
      <c r="C20" s="567"/>
      <c r="D20" s="220"/>
      <c r="E20" s="220"/>
      <c r="F20" s="220"/>
      <c r="G20" s="220"/>
      <c r="H20" s="220"/>
    </row>
    <row r="21" spans="1:14" ht="26.25" customHeight="1" x14ac:dyDescent="0.4">
      <c r="A21" s="217" t="s">
        <v>19</v>
      </c>
      <c r="B21" s="567" t="s">
        <v>117</v>
      </c>
      <c r="C21" s="567"/>
      <c r="D21" s="567"/>
      <c r="E21" s="567"/>
      <c r="F21" s="567"/>
      <c r="G21" s="567"/>
      <c r="H21" s="567"/>
      <c r="I21" s="222"/>
    </row>
    <row r="22" spans="1:14" ht="26.25" customHeight="1" x14ac:dyDescent="0.4">
      <c r="A22" s="217" t="s">
        <v>20</v>
      </c>
      <c r="B22" s="223" t="s">
        <v>118</v>
      </c>
      <c r="C22" s="220"/>
      <c r="D22" s="220"/>
      <c r="E22" s="220"/>
      <c r="F22" s="220"/>
      <c r="G22" s="220"/>
      <c r="H22" s="220"/>
    </row>
    <row r="23" spans="1:14" ht="26.25" customHeight="1" x14ac:dyDescent="0.4">
      <c r="A23" s="217" t="s">
        <v>21</v>
      </c>
      <c r="B23" s="223"/>
      <c r="C23" s="220"/>
      <c r="D23" s="220"/>
      <c r="E23" s="220"/>
      <c r="F23" s="220"/>
      <c r="G23" s="220"/>
      <c r="H23" s="220"/>
    </row>
    <row r="24" spans="1:14" ht="18.75" x14ac:dyDescent="0.3">
      <c r="A24" s="217"/>
      <c r="B24" s="224"/>
    </row>
    <row r="25" spans="1:14" ht="18.75" x14ac:dyDescent="0.3">
      <c r="A25" s="225" t="s">
        <v>0</v>
      </c>
      <c r="B25" s="224"/>
    </row>
    <row r="26" spans="1:14" ht="26.25" customHeight="1" x14ac:dyDescent="0.4">
      <c r="A26" s="226" t="s">
        <v>1</v>
      </c>
      <c r="B26" s="566" t="s">
        <v>124</v>
      </c>
      <c r="C26" s="566"/>
    </row>
    <row r="27" spans="1:14" ht="26.25" customHeight="1" x14ac:dyDescent="0.4">
      <c r="A27" s="227" t="s">
        <v>31</v>
      </c>
      <c r="B27" s="568" t="s">
        <v>123</v>
      </c>
      <c r="C27" s="568"/>
    </row>
    <row r="28" spans="1:14" ht="27" customHeight="1" thickBot="1" x14ac:dyDescent="0.45">
      <c r="A28" s="227" t="s">
        <v>3</v>
      </c>
      <c r="B28" s="228">
        <v>99.5</v>
      </c>
    </row>
    <row r="29" spans="1:14" s="230" customFormat="1" ht="27" customHeight="1" thickBot="1" x14ac:dyDescent="0.45">
      <c r="A29" s="227" t="s">
        <v>32</v>
      </c>
      <c r="B29" s="229">
        <v>0</v>
      </c>
      <c r="C29" s="540" t="s">
        <v>33</v>
      </c>
      <c r="D29" s="541"/>
      <c r="E29" s="541"/>
      <c r="F29" s="541"/>
      <c r="G29" s="542"/>
      <c r="I29" s="231"/>
      <c r="J29" s="231"/>
      <c r="K29" s="231"/>
      <c r="L29" s="231"/>
    </row>
    <row r="30" spans="1:14" s="230" customFormat="1" ht="19.5" customHeight="1" thickBot="1" x14ac:dyDescent="0.35">
      <c r="A30" s="227" t="s">
        <v>34</v>
      </c>
      <c r="B30" s="232">
        <f>B28-B29</f>
        <v>99.5</v>
      </c>
      <c r="C30" s="233"/>
      <c r="D30" s="233"/>
      <c r="E30" s="233"/>
      <c r="F30" s="233"/>
      <c r="G30" s="234"/>
      <c r="I30" s="231"/>
      <c r="J30" s="231"/>
      <c r="K30" s="231"/>
      <c r="L30" s="231"/>
    </row>
    <row r="31" spans="1:14" s="230" customFormat="1" ht="27" customHeight="1" thickBot="1" x14ac:dyDescent="0.45">
      <c r="A31" s="227" t="s">
        <v>35</v>
      </c>
      <c r="B31" s="235">
        <v>1</v>
      </c>
      <c r="C31" s="543" t="s">
        <v>36</v>
      </c>
      <c r="D31" s="544"/>
      <c r="E31" s="544"/>
      <c r="F31" s="544"/>
      <c r="G31" s="544"/>
      <c r="H31" s="545"/>
      <c r="I31" s="231"/>
      <c r="J31" s="231"/>
      <c r="K31" s="231"/>
      <c r="L31" s="231"/>
    </row>
    <row r="32" spans="1:14" s="230" customFormat="1" ht="27" customHeight="1" thickBot="1" x14ac:dyDescent="0.45">
      <c r="A32" s="227" t="s">
        <v>37</v>
      </c>
      <c r="B32" s="235">
        <v>1</v>
      </c>
      <c r="C32" s="543" t="s">
        <v>38</v>
      </c>
      <c r="D32" s="544"/>
      <c r="E32" s="544"/>
      <c r="F32" s="544"/>
      <c r="G32" s="544"/>
      <c r="H32" s="545"/>
      <c r="I32" s="231"/>
      <c r="J32" s="231"/>
      <c r="K32" s="231"/>
      <c r="L32" s="236"/>
      <c r="M32" s="236"/>
      <c r="N32" s="237"/>
    </row>
    <row r="33" spans="1:14" s="230" customFormat="1" ht="17.25" customHeight="1" x14ac:dyDescent="0.3">
      <c r="A33" s="227"/>
      <c r="B33" s="238"/>
      <c r="C33" s="239"/>
      <c r="D33" s="239"/>
      <c r="E33" s="239"/>
      <c r="F33" s="239"/>
      <c r="G33" s="239"/>
      <c r="H33" s="239"/>
      <c r="I33" s="231"/>
      <c r="J33" s="231"/>
      <c r="K33" s="231"/>
      <c r="L33" s="236"/>
      <c r="M33" s="236"/>
      <c r="N33" s="237"/>
    </row>
    <row r="34" spans="1:14" s="230" customFormat="1" ht="18.75" x14ac:dyDescent="0.3">
      <c r="A34" s="227" t="s">
        <v>39</v>
      </c>
      <c r="B34" s="240">
        <f>B31/B32</f>
        <v>1</v>
      </c>
      <c r="C34" s="215" t="s">
        <v>40</v>
      </c>
      <c r="D34" s="215"/>
      <c r="E34" s="215"/>
      <c r="F34" s="215"/>
      <c r="G34" s="215"/>
      <c r="I34" s="231"/>
      <c r="J34" s="231"/>
      <c r="K34" s="231"/>
      <c r="L34" s="236"/>
      <c r="M34" s="236"/>
      <c r="N34" s="237"/>
    </row>
    <row r="35" spans="1:14" s="230" customFormat="1" ht="19.5" customHeight="1" thickBot="1" x14ac:dyDescent="0.35">
      <c r="A35" s="227"/>
      <c r="B35" s="232"/>
      <c r="G35" s="215"/>
      <c r="I35" s="231"/>
      <c r="J35" s="231"/>
      <c r="K35" s="231"/>
      <c r="L35" s="236"/>
      <c r="M35" s="236"/>
      <c r="N35" s="237"/>
    </row>
    <row r="36" spans="1:14" s="230" customFormat="1" ht="27" customHeight="1" thickBot="1" x14ac:dyDescent="0.45">
      <c r="A36" s="241" t="s">
        <v>41</v>
      </c>
      <c r="B36" s="242">
        <v>50</v>
      </c>
      <c r="C36" s="215"/>
      <c r="D36" s="546" t="s">
        <v>42</v>
      </c>
      <c r="E36" s="548"/>
      <c r="F36" s="546" t="s">
        <v>43</v>
      </c>
      <c r="G36" s="547"/>
      <c r="J36" s="231"/>
      <c r="K36" s="231"/>
      <c r="L36" s="236"/>
      <c r="M36" s="236"/>
      <c r="N36" s="237"/>
    </row>
    <row r="37" spans="1:14" s="230" customFormat="1" ht="27" customHeight="1" thickBot="1" x14ac:dyDescent="0.45">
      <c r="A37" s="243" t="s">
        <v>44</v>
      </c>
      <c r="B37" s="244">
        <v>1</v>
      </c>
      <c r="C37" s="245" t="s">
        <v>45</v>
      </c>
      <c r="D37" s="246" t="s">
        <v>46</v>
      </c>
      <c r="E37" s="247" t="s">
        <v>47</v>
      </c>
      <c r="F37" s="246" t="s">
        <v>46</v>
      </c>
      <c r="G37" s="248" t="s">
        <v>47</v>
      </c>
      <c r="I37" s="249" t="s">
        <v>48</v>
      </c>
      <c r="J37" s="231"/>
      <c r="K37" s="231"/>
      <c r="L37" s="236"/>
      <c r="M37" s="236"/>
      <c r="N37" s="237"/>
    </row>
    <row r="38" spans="1:14" s="230" customFormat="1" ht="26.25" customHeight="1" x14ac:dyDescent="0.4">
      <c r="A38" s="243" t="s">
        <v>49</v>
      </c>
      <c r="B38" s="244">
        <v>1</v>
      </c>
      <c r="C38" s="250">
        <v>1</v>
      </c>
      <c r="D38" s="251">
        <v>73643611</v>
      </c>
      <c r="E38" s="252">
        <f>IF(ISBLANK(D38),"-",$D$48/$D$45*D38)</f>
        <v>71583180.703336746</v>
      </c>
      <c r="F38" s="251">
        <v>75615399</v>
      </c>
      <c r="G38" s="253">
        <f>IF(ISBLANK(F38),"-",$D$48/$F$45*F38)</f>
        <v>72041471.843343705</v>
      </c>
      <c r="I38" s="254"/>
      <c r="J38" s="231"/>
      <c r="K38" s="231"/>
      <c r="L38" s="236"/>
      <c r="M38" s="236"/>
      <c r="N38" s="237"/>
    </row>
    <row r="39" spans="1:14" s="230" customFormat="1" ht="26.25" customHeight="1" x14ac:dyDescent="0.4">
      <c r="A39" s="243" t="s">
        <v>50</v>
      </c>
      <c r="B39" s="244">
        <v>1</v>
      </c>
      <c r="C39" s="255">
        <v>2</v>
      </c>
      <c r="D39" s="256">
        <v>73402995</v>
      </c>
      <c r="E39" s="257">
        <f>IF(ISBLANK(D39),"-",$D$48/$D$45*D39)</f>
        <v>71349296.753673896</v>
      </c>
      <c r="F39" s="256">
        <v>75279160</v>
      </c>
      <c r="G39" s="258">
        <f>IF(ISBLANK(F39),"-",$D$48/$F$45*F39)</f>
        <v>71721125.025480136</v>
      </c>
      <c r="I39" s="528">
        <f>ABS((F43/D43*D42)-F42)/D42</f>
        <v>8.8962986938192871E-3</v>
      </c>
      <c r="J39" s="231"/>
      <c r="K39" s="231"/>
      <c r="L39" s="236"/>
      <c r="M39" s="236"/>
      <c r="N39" s="237"/>
    </row>
    <row r="40" spans="1:14" ht="26.25" customHeight="1" x14ac:dyDescent="0.4">
      <c r="A40" s="243" t="s">
        <v>51</v>
      </c>
      <c r="B40" s="244">
        <v>1</v>
      </c>
      <c r="C40" s="255">
        <v>3</v>
      </c>
      <c r="D40" s="256">
        <v>73196228</v>
      </c>
      <c r="E40" s="257">
        <f>IF(ISBLANK(D40),"-",$D$48/$D$45*D40)</f>
        <v>71148314.763199702</v>
      </c>
      <c r="F40" s="256">
        <v>75765978</v>
      </c>
      <c r="G40" s="258">
        <f>IF(ISBLANK(F40),"-",$D$48/$F$45*F40)</f>
        <v>72184933.795963958</v>
      </c>
      <c r="I40" s="528"/>
      <c r="L40" s="236"/>
      <c r="M40" s="236"/>
      <c r="N40" s="215"/>
    </row>
    <row r="41" spans="1:14" ht="27" customHeight="1" thickBot="1" x14ac:dyDescent="0.45">
      <c r="A41" s="243" t="s">
        <v>52</v>
      </c>
      <c r="B41" s="244">
        <v>1</v>
      </c>
      <c r="C41" s="259">
        <v>4</v>
      </c>
      <c r="D41" s="260"/>
      <c r="E41" s="261" t="str">
        <f>IF(ISBLANK(D41),"-",$D$48/$D$45*D41)</f>
        <v>-</v>
      </c>
      <c r="F41" s="260"/>
      <c r="G41" s="262" t="str">
        <f>IF(ISBLANK(F41),"-",$D$48/$F$45*F41)</f>
        <v>-</v>
      </c>
      <c r="I41" s="263"/>
      <c r="L41" s="236"/>
      <c r="M41" s="236"/>
      <c r="N41" s="215"/>
    </row>
    <row r="42" spans="1:14" ht="27" customHeight="1" thickBot="1" x14ac:dyDescent="0.45">
      <c r="A42" s="243" t="s">
        <v>53</v>
      </c>
      <c r="B42" s="244">
        <v>1</v>
      </c>
      <c r="C42" s="264" t="s">
        <v>54</v>
      </c>
      <c r="D42" s="265">
        <f>AVERAGE(D38:D41)</f>
        <v>73414278</v>
      </c>
      <c r="E42" s="266">
        <f>AVERAGE(E38:E41)</f>
        <v>71360264.073403433</v>
      </c>
      <c r="F42" s="265">
        <f>AVERAGE(F38:F41)</f>
        <v>75553512.333333328</v>
      </c>
      <c r="G42" s="267">
        <f>AVERAGE(G38:G41)</f>
        <v>71982510.221595928</v>
      </c>
      <c r="H42" s="268"/>
    </row>
    <row r="43" spans="1:14" ht="26.25" customHeight="1" x14ac:dyDescent="0.4">
      <c r="A43" s="243" t="s">
        <v>55</v>
      </c>
      <c r="B43" s="244">
        <v>1</v>
      </c>
      <c r="C43" s="269" t="s">
        <v>56</v>
      </c>
      <c r="D43" s="270">
        <v>22.23</v>
      </c>
      <c r="E43" s="215"/>
      <c r="F43" s="270">
        <v>22.68</v>
      </c>
      <c r="H43" s="268"/>
    </row>
    <row r="44" spans="1:14" ht="26.25" customHeight="1" x14ac:dyDescent="0.4">
      <c r="A44" s="243" t="s">
        <v>57</v>
      </c>
      <c r="B44" s="244">
        <v>1</v>
      </c>
      <c r="C44" s="271" t="s">
        <v>58</v>
      </c>
      <c r="D44" s="272">
        <f>D43*$B$34</f>
        <v>22.23</v>
      </c>
      <c r="E44" s="273"/>
      <c r="F44" s="272">
        <f>F43*$B$34</f>
        <v>22.68</v>
      </c>
      <c r="H44" s="268"/>
    </row>
    <row r="45" spans="1:14" ht="19.5" customHeight="1" thickBot="1" x14ac:dyDescent="0.35">
      <c r="A45" s="243" t="s">
        <v>59</v>
      </c>
      <c r="B45" s="255">
        <f>(B44/B43)*(B42/B41)*(B40/B39)*(B38/B37)*B36</f>
        <v>50</v>
      </c>
      <c r="C45" s="271" t="s">
        <v>60</v>
      </c>
      <c r="D45" s="274">
        <f>D44*$B$30/100</f>
        <v>22.118850000000002</v>
      </c>
      <c r="E45" s="275"/>
      <c r="F45" s="274">
        <f>F44*$B$30/100</f>
        <v>22.566599999999998</v>
      </c>
      <c r="H45" s="268"/>
    </row>
    <row r="46" spans="1:14" ht="19.5" customHeight="1" thickBot="1" x14ac:dyDescent="0.35">
      <c r="A46" s="529" t="s">
        <v>61</v>
      </c>
      <c r="B46" s="533"/>
      <c r="C46" s="271" t="s">
        <v>62</v>
      </c>
      <c r="D46" s="276">
        <f>D45/$B$45</f>
        <v>0.44237700000000002</v>
      </c>
      <c r="E46" s="277"/>
      <c r="F46" s="278">
        <f>F45/$B$45</f>
        <v>0.45133199999999996</v>
      </c>
      <c r="H46" s="268"/>
    </row>
    <row r="47" spans="1:14" ht="27" customHeight="1" thickBot="1" x14ac:dyDescent="0.45">
      <c r="A47" s="531"/>
      <c r="B47" s="534"/>
      <c r="C47" s="279" t="s">
        <v>63</v>
      </c>
      <c r="D47" s="280">
        <v>0.43</v>
      </c>
      <c r="E47" s="281"/>
      <c r="F47" s="277"/>
      <c r="H47" s="268"/>
    </row>
    <row r="48" spans="1:14" ht="18.75" x14ac:dyDescent="0.3">
      <c r="C48" s="282" t="s">
        <v>64</v>
      </c>
      <c r="D48" s="274">
        <f>D47*$B$45</f>
        <v>21.5</v>
      </c>
      <c r="F48" s="283"/>
      <c r="H48" s="268"/>
    </row>
    <row r="49" spans="1:12" ht="19.5" customHeight="1" thickBot="1" x14ac:dyDescent="0.35">
      <c r="C49" s="284" t="s">
        <v>65</v>
      </c>
      <c r="D49" s="285">
        <f>D48/B34</f>
        <v>21.5</v>
      </c>
      <c r="F49" s="283"/>
      <c r="H49" s="268"/>
    </row>
    <row r="50" spans="1:12" ht="18.75" x14ac:dyDescent="0.3">
      <c r="C50" s="241" t="s">
        <v>66</v>
      </c>
      <c r="D50" s="286">
        <f>AVERAGE(E38:E41,G38:G41)</f>
        <v>71671387.147499695</v>
      </c>
      <c r="F50" s="287"/>
      <c r="H50" s="268"/>
    </row>
    <row r="51" spans="1:12" ht="18.75" x14ac:dyDescent="0.3">
      <c r="C51" s="243" t="s">
        <v>67</v>
      </c>
      <c r="D51" s="288">
        <f>STDEV(E38:E41,G38:G41)/D50</f>
        <v>5.5400451340785386E-3</v>
      </c>
      <c r="F51" s="287"/>
      <c r="H51" s="268"/>
    </row>
    <row r="52" spans="1:12" ht="19.5" customHeight="1" thickBot="1" x14ac:dyDescent="0.35">
      <c r="C52" s="289" t="s">
        <v>8</v>
      </c>
      <c r="D52" s="290">
        <f>COUNT(E38:E41,G38:G41)</f>
        <v>6</v>
      </c>
      <c r="F52" s="287"/>
    </row>
    <row r="54" spans="1:12" ht="18.75" x14ac:dyDescent="0.3">
      <c r="A54" s="291" t="s">
        <v>0</v>
      </c>
      <c r="B54" s="292" t="s">
        <v>68</v>
      </c>
    </row>
    <row r="55" spans="1:12" ht="18.75" x14ac:dyDescent="0.3">
      <c r="A55" s="215" t="s">
        <v>69</v>
      </c>
      <c r="B55" s="293" t="str">
        <f>B21</f>
        <v>Each  dispersible tablet contains: Rifampicin BP 75 mg and Isoniazid BP 50 mg.</v>
      </c>
    </row>
    <row r="56" spans="1:12" ht="26.25" customHeight="1" x14ac:dyDescent="0.4">
      <c r="A56" s="293" t="s">
        <v>70</v>
      </c>
      <c r="B56" s="294">
        <v>150</v>
      </c>
      <c r="C56" s="215" t="str">
        <f>B20</f>
        <v>PYRAZINAMIDE</v>
      </c>
      <c r="H56" s="273"/>
    </row>
    <row r="57" spans="1:12" ht="18.75" x14ac:dyDescent="0.3">
      <c r="A57" s="293" t="s">
        <v>71</v>
      </c>
      <c r="B57" s="295">
        <f>Uniformity!C46</f>
        <v>480.67950000000002</v>
      </c>
      <c r="H57" s="273"/>
    </row>
    <row r="58" spans="1:12" ht="19.5" customHeight="1" thickBot="1" x14ac:dyDescent="0.35">
      <c r="H58" s="273"/>
    </row>
    <row r="59" spans="1:12" s="230" customFormat="1" ht="27" customHeight="1" thickBot="1" x14ac:dyDescent="0.45">
      <c r="A59" s="241" t="s">
        <v>72</v>
      </c>
      <c r="B59" s="242">
        <v>50</v>
      </c>
      <c r="C59" s="215"/>
      <c r="D59" s="296" t="s">
        <v>73</v>
      </c>
      <c r="E59" s="297" t="s">
        <v>45</v>
      </c>
      <c r="F59" s="297" t="s">
        <v>46</v>
      </c>
      <c r="G59" s="297" t="s">
        <v>74</v>
      </c>
      <c r="H59" s="245" t="s">
        <v>75</v>
      </c>
      <c r="L59" s="231"/>
    </row>
    <row r="60" spans="1:12" s="230" customFormat="1" ht="26.25" customHeight="1" x14ac:dyDescent="0.4">
      <c r="A60" s="243" t="s">
        <v>76</v>
      </c>
      <c r="B60" s="244">
        <v>5</v>
      </c>
      <c r="C60" s="549" t="s">
        <v>77</v>
      </c>
      <c r="D60" s="552">
        <f>Rifampicin!D60</f>
        <v>461.28</v>
      </c>
      <c r="E60" s="298">
        <v>1</v>
      </c>
      <c r="F60" s="299"/>
      <c r="G60" s="300" t="str">
        <f>IF(ISBLANK(F60),"-",(F60/$D$50*$D$47*$B$68)*($B$57/$D$60))</f>
        <v>-</v>
      </c>
      <c r="H60" s="301" t="str">
        <f t="shared" ref="H60:H71" si="0">IF(ISBLANK(F60),"-",(G60/$B$56)*100)</f>
        <v>-</v>
      </c>
      <c r="L60" s="231"/>
    </row>
    <row r="61" spans="1:12" s="230" customFormat="1" ht="26.25" customHeight="1" x14ac:dyDescent="0.4">
      <c r="A61" s="243" t="s">
        <v>78</v>
      </c>
      <c r="B61" s="244">
        <v>50</v>
      </c>
      <c r="C61" s="550"/>
      <c r="D61" s="553"/>
      <c r="E61" s="302">
        <v>2</v>
      </c>
      <c r="F61" s="256">
        <v>50371965</v>
      </c>
      <c r="G61" s="303">
        <f>IF(ISBLANK(F61),"-",(F61/$D$50*$D$47*$B$68)*($B$57/$D$60))</f>
        <v>157.46082354611138</v>
      </c>
      <c r="H61" s="304">
        <f t="shared" si="0"/>
        <v>104.97388236407426</v>
      </c>
      <c r="L61" s="231"/>
    </row>
    <row r="62" spans="1:12" s="230" customFormat="1" ht="26.25" customHeight="1" x14ac:dyDescent="0.4">
      <c r="A62" s="243" t="s">
        <v>79</v>
      </c>
      <c r="B62" s="244">
        <v>1</v>
      </c>
      <c r="C62" s="550"/>
      <c r="D62" s="553"/>
      <c r="E62" s="302">
        <v>3</v>
      </c>
      <c r="F62" s="305"/>
      <c r="G62" s="303" t="str">
        <f>IF(ISBLANK(F62),"-",(F62/$D$50*$D$47*$B$68)*($B$57/$D$60))</f>
        <v>-</v>
      </c>
      <c r="H62" s="304" t="str">
        <f t="shared" si="0"/>
        <v>-</v>
      </c>
      <c r="L62" s="231"/>
    </row>
    <row r="63" spans="1:12" ht="27" customHeight="1" thickBot="1" x14ac:dyDescent="0.45">
      <c r="A63" s="243" t="s">
        <v>80</v>
      </c>
      <c r="B63" s="244">
        <v>1</v>
      </c>
      <c r="C63" s="551"/>
      <c r="D63" s="554"/>
      <c r="E63" s="306">
        <v>4</v>
      </c>
      <c r="F63" s="307"/>
      <c r="G63" s="303" t="str">
        <f>IF(ISBLANK(F63),"-",(F63/$D$50*$D$47*$B$68)*($B$57/$D$60))</f>
        <v>-</v>
      </c>
      <c r="H63" s="304" t="str">
        <f t="shared" si="0"/>
        <v>-</v>
      </c>
    </row>
    <row r="64" spans="1:12" ht="26.25" customHeight="1" x14ac:dyDescent="0.4">
      <c r="A64" s="243" t="s">
        <v>81</v>
      </c>
      <c r="B64" s="244">
        <v>1</v>
      </c>
      <c r="C64" s="549" t="s">
        <v>82</v>
      </c>
      <c r="D64" s="552">
        <f>Rifampicin!D64</f>
        <v>470.1</v>
      </c>
      <c r="E64" s="298">
        <v>1</v>
      </c>
      <c r="F64" s="299">
        <v>49970479</v>
      </c>
      <c r="G64" s="300">
        <f>IF(ISBLANK(F64),"-",(F64/$D$50*$D$47*$B$68)*($B$57/$D$64))</f>
        <v>153.2750660454646</v>
      </c>
      <c r="H64" s="301">
        <f t="shared" si="0"/>
        <v>102.18337736364307</v>
      </c>
    </row>
    <row r="65" spans="1:8" ht="26.25" customHeight="1" x14ac:dyDescent="0.4">
      <c r="A65" s="243" t="s">
        <v>83</v>
      </c>
      <c r="B65" s="244">
        <v>1</v>
      </c>
      <c r="C65" s="550"/>
      <c r="D65" s="553"/>
      <c r="E65" s="302">
        <v>2</v>
      </c>
      <c r="F65" s="256">
        <v>49287839</v>
      </c>
      <c r="G65" s="303">
        <f>IF(ISBLANK(F65),"-",(F65/$D$50*$D$47*$B$68)*($B$57/$D$64))</f>
        <v>151.18119596098381</v>
      </c>
      <c r="H65" s="304">
        <f t="shared" si="0"/>
        <v>100.7874639739892</v>
      </c>
    </row>
    <row r="66" spans="1:8" ht="26.25" customHeight="1" x14ac:dyDescent="0.4">
      <c r="A66" s="243" t="s">
        <v>84</v>
      </c>
      <c r="B66" s="244">
        <v>1</v>
      </c>
      <c r="C66" s="550"/>
      <c r="D66" s="553"/>
      <c r="E66" s="302">
        <v>3</v>
      </c>
      <c r="F66" s="256">
        <v>49103169</v>
      </c>
      <c r="G66" s="303">
        <f>IF(ISBLANK(F66),"-",(F66/$D$50*$D$47*$B$68)*($B$57/$D$64))</f>
        <v>150.61475539421207</v>
      </c>
      <c r="H66" s="304">
        <f t="shared" si="0"/>
        <v>100.40983692947472</v>
      </c>
    </row>
    <row r="67" spans="1:8" ht="27" customHeight="1" thickBot="1" x14ac:dyDescent="0.45">
      <c r="A67" s="243" t="s">
        <v>85</v>
      </c>
      <c r="B67" s="244">
        <v>1</v>
      </c>
      <c r="C67" s="551"/>
      <c r="D67" s="554"/>
      <c r="E67" s="306">
        <v>4</v>
      </c>
      <c r="F67" s="307"/>
      <c r="G67" s="308" t="str">
        <f>IF(ISBLANK(F67),"-",(F67/$D$50*$D$47*$B$68)*($B$57/$D$64))</f>
        <v>-</v>
      </c>
      <c r="H67" s="309" t="str">
        <f t="shared" si="0"/>
        <v>-</v>
      </c>
    </row>
    <row r="68" spans="1:8" ht="26.25" customHeight="1" x14ac:dyDescent="0.4">
      <c r="A68" s="243" t="s">
        <v>86</v>
      </c>
      <c r="B68" s="310">
        <f>(B67/B66)*(B65/B64)*(B63/B62)*(B61/B60)*B59</f>
        <v>500</v>
      </c>
      <c r="C68" s="549" t="s">
        <v>87</v>
      </c>
      <c r="D68" s="552">
        <v>495.11</v>
      </c>
      <c r="E68" s="298">
        <v>1</v>
      </c>
      <c r="F68" s="299">
        <v>53210203</v>
      </c>
      <c r="G68" s="300">
        <f>IF(ISBLANK(F68),"-",(F68/$D$50*$D$47*$B$68)*($B$57/$D$68))</f>
        <v>154.96780026035614</v>
      </c>
      <c r="H68" s="304">
        <f t="shared" si="0"/>
        <v>103.31186684023743</v>
      </c>
    </row>
    <row r="69" spans="1:8" ht="27" customHeight="1" thickBot="1" x14ac:dyDescent="0.45">
      <c r="A69" s="289" t="s">
        <v>88</v>
      </c>
      <c r="B69" s="311">
        <f>(D47*B68)/B56*B57</f>
        <v>688.97395000000006</v>
      </c>
      <c r="C69" s="550"/>
      <c r="D69" s="553"/>
      <c r="E69" s="302">
        <v>2</v>
      </c>
      <c r="F69" s="256">
        <v>52743018</v>
      </c>
      <c r="G69" s="303">
        <f>IF(ISBLANK(F69),"-",(F69/$D$50*$D$47*$B$68)*($B$57/$D$68))</f>
        <v>153.60718467005981</v>
      </c>
      <c r="H69" s="304">
        <f t="shared" si="0"/>
        <v>102.40478978003986</v>
      </c>
    </row>
    <row r="70" spans="1:8" ht="26.25" customHeight="1" x14ac:dyDescent="0.4">
      <c r="A70" s="556" t="s">
        <v>61</v>
      </c>
      <c r="B70" s="557"/>
      <c r="C70" s="550"/>
      <c r="D70" s="553"/>
      <c r="E70" s="302">
        <v>3</v>
      </c>
      <c r="F70" s="256">
        <v>51188952</v>
      </c>
      <c r="G70" s="303">
        <f>IF(ISBLANK(F70),"-",(F70/$D$50*$D$47*$B$68)*($B$57/$D$68))</f>
        <v>149.08116943423349</v>
      </c>
      <c r="H70" s="304">
        <f t="shared" si="0"/>
        <v>99.387446289488992</v>
      </c>
    </row>
    <row r="71" spans="1:8" ht="27" customHeight="1" thickBot="1" x14ac:dyDescent="0.45">
      <c r="A71" s="558"/>
      <c r="B71" s="559"/>
      <c r="C71" s="555"/>
      <c r="D71" s="554"/>
      <c r="E71" s="306">
        <v>4</v>
      </c>
      <c r="F71" s="307"/>
      <c r="G71" s="308" t="str">
        <f>IF(ISBLANK(F71),"-",(F71/$D$50*$D$47*$B$68)*($B$57/$D$68))</f>
        <v>-</v>
      </c>
      <c r="H71" s="309" t="str">
        <f t="shared" si="0"/>
        <v>-</v>
      </c>
    </row>
    <row r="72" spans="1:8" ht="26.25" customHeight="1" x14ac:dyDescent="0.4">
      <c r="A72" s="273"/>
      <c r="B72" s="273"/>
      <c r="C72" s="273"/>
      <c r="D72" s="273"/>
      <c r="E72" s="273"/>
      <c r="F72" s="312" t="s">
        <v>54</v>
      </c>
      <c r="G72" s="313">
        <f>AVERAGE(G60:G71)</f>
        <v>152.88399933020304</v>
      </c>
      <c r="H72" s="314">
        <f>AVERAGE(H60:H71)</f>
        <v>101.92266622013537</v>
      </c>
    </row>
    <row r="73" spans="1:8" ht="26.25" customHeight="1" x14ac:dyDescent="0.4">
      <c r="C73" s="273"/>
      <c r="D73" s="273"/>
      <c r="E73" s="273"/>
      <c r="F73" s="315" t="s">
        <v>67</v>
      </c>
      <c r="G73" s="316">
        <f>STDEV(G60:G71)/G72</f>
        <v>1.8591983433820417E-2</v>
      </c>
      <c r="H73" s="316">
        <f>STDEV(H60:H71)/H72</f>
        <v>1.8591983433820406E-2</v>
      </c>
    </row>
    <row r="74" spans="1:8" ht="27" customHeight="1" thickBot="1" x14ac:dyDescent="0.45">
      <c r="A74" s="273"/>
      <c r="B74" s="273"/>
      <c r="C74" s="273"/>
      <c r="D74" s="273"/>
      <c r="E74" s="275"/>
      <c r="F74" s="317" t="s">
        <v>8</v>
      </c>
      <c r="G74" s="318">
        <f>COUNT(G60:G71)</f>
        <v>7</v>
      </c>
      <c r="H74" s="318">
        <f>COUNT(H60:H71)</f>
        <v>7</v>
      </c>
    </row>
    <row r="76" spans="1:8" ht="26.25" customHeight="1" x14ac:dyDescent="0.4">
      <c r="A76" s="226" t="s">
        <v>89</v>
      </c>
      <c r="B76" s="227" t="s">
        <v>90</v>
      </c>
      <c r="C76" s="537" t="str">
        <f>B26</f>
        <v>PYRAZINAMIDE</v>
      </c>
      <c r="D76" s="537"/>
      <c r="E76" s="215" t="s">
        <v>91</v>
      </c>
      <c r="F76" s="215"/>
      <c r="G76" s="319">
        <f>H72</f>
        <v>101.92266622013537</v>
      </c>
      <c r="H76" s="232"/>
    </row>
    <row r="77" spans="1:8" ht="18.75" x14ac:dyDescent="0.3">
      <c r="A77" s="225" t="s">
        <v>92</v>
      </c>
      <c r="B77" s="225" t="s">
        <v>93</v>
      </c>
    </row>
    <row r="78" spans="1:8" ht="18.75" x14ac:dyDescent="0.3">
      <c r="A78" s="225"/>
      <c r="B78" s="225"/>
    </row>
    <row r="79" spans="1:8" ht="26.25" customHeight="1" x14ac:dyDescent="0.4">
      <c r="A79" s="226" t="s">
        <v>1</v>
      </c>
      <c r="B79" s="539"/>
      <c r="C79" s="539"/>
    </row>
    <row r="80" spans="1:8" ht="26.25" customHeight="1" x14ac:dyDescent="0.4">
      <c r="A80" s="227" t="s">
        <v>31</v>
      </c>
      <c r="B80" s="539"/>
      <c r="C80" s="539"/>
    </row>
    <row r="81" spans="1:12" ht="27" customHeight="1" thickBot="1" x14ac:dyDescent="0.45">
      <c r="A81" s="227" t="s">
        <v>3</v>
      </c>
      <c r="B81" s="228"/>
    </row>
    <row r="82" spans="1:12" s="230" customFormat="1" ht="27" customHeight="1" thickBot="1" x14ac:dyDescent="0.45">
      <c r="A82" s="227" t="s">
        <v>32</v>
      </c>
      <c r="B82" s="229">
        <v>0</v>
      </c>
      <c r="C82" s="540" t="s">
        <v>33</v>
      </c>
      <c r="D82" s="541"/>
      <c r="E82" s="541"/>
      <c r="F82" s="541"/>
      <c r="G82" s="542"/>
      <c r="I82" s="231"/>
      <c r="J82" s="231"/>
      <c r="K82" s="231"/>
      <c r="L82" s="231"/>
    </row>
    <row r="83" spans="1:12" s="230" customFormat="1" ht="19.5" customHeight="1" thickBot="1" x14ac:dyDescent="0.35">
      <c r="A83" s="227" t="s">
        <v>34</v>
      </c>
      <c r="B83" s="232">
        <f>B81-B82</f>
        <v>0</v>
      </c>
      <c r="C83" s="233"/>
      <c r="D83" s="233"/>
      <c r="E83" s="233"/>
      <c r="F83" s="233"/>
      <c r="G83" s="234"/>
      <c r="I83" s="231"/>
      <c r="J83" s="231"/>
      <c r="K83" s="231"/>
      <c r="L83" s="231"/>
    </row>
    <row r="84" spans="1:12" s="230" customFormat="1" ht="27" customHeight="1" thickBot="1" x14ac:dyDescent="0.45">
      <c r="A84" s="227" t="s">
        <v>35</v>
      </c>
      <c r="B84" s="235"/>
      <c r="C84" s="543" t="s">
        <v>94</v>
      </c>
      <c r="D84" s="544"/>
      <c r="E84" s="544"/>
      <c r="F84" s="544"/>
      <c r="G84" s="544"/>
      <c r="H84" s="545"/>
      <c r="I84" s="231"/>
      <c r="J84" s="231"/>
      <c r="K84" s="231"/>
      <c r="L84" s="231"/>
    </row>
    <row r="85" spans="1:12" s="230" customFormat="1" ht="27" customHeight="1" thickBot="1" x14ac:dyDescent="0.45">
      <c r="A85" s="227" t="s">
        <v>37</v>
      </c>
      <c r="B85" s="235"/>
      <c r="C85" s="543" t="s">
        <v>95</v>
      </c>
      <c r="D85" s="544"/>
      <c r="E85" s="544"/>
      <c r="F85" s="544"/>
      <c r="G85" s="544"/>
      <c r="H85" s="545"/>
      <c r="I85" s="231"/>
      <c r="J85" s="231"/>
      <c r="K85" s="231"/>
      <c r="L85" s="231"/>
    </row>
    <row r="86" spans="1:12" s="230" customFormat="1" ht="18.75" x14ac:dyDescent="0.3">
      <c r="A86" s="227"/>
      <c r="B86" s="238"/>
      <c r="C86" s="239"/>
      <c r="D86" s="239"/>
      <c r="E86" s="239"/>
      <c r="F86" s="239"/>
      <c r="G86" s="239"/>
      <c r="H86" s="239"/>
      <c r="I86" s="231"/>
      <c r="J86" s="231"/>
      <c r="K86" s="231"/>
      <c r="L86" s="231"/>
    </row>
    <row r="87" spans="1:12" s="230" customFormat="1" ht="18.75" x14ac:dyDescent="0.3">
      <c r="A87" s="227" t="s">
        <v>39</v>
      </c>
      <c r="B87" s="240" t="e">
        <f>B84/B85</f>
        <v>#DIV/0!</v>
      </c>
      <c r="C87" s="215" t="s">
        <v>40</v>
      </c>
      <c r="D87" s="215"/>
      <c r="E87" s="215"/>
      <c r="F87" s="215"/>
      <c r="G87" s="215"/>
      <c r="I87" s="231"/>
      <c r="J87" s="231"/>
      <c r="K87" s="231"/>
      <c r="L87" s="231"/>
    </row>
    <row r="88" spans="1:12" ht="19.5" customHeight="1" thickBot="1" x14ac:dyDescent="0.35">
      <c r="A88" s="225"/>
      <c r="B88" s="225"/>
    </row>
    <row r="89" spans="1:12" ht="27" customHeight="1" thickBot="1" x14ac:dyDescent="0.45">
      <c r="A89" s="241" t="s">
        <v>41</v>
      </c>
      <c r="B89" s="242"/>
      <c r="D89" s="320" t="s">
        <v>42</v>
      </c>
      <c r="E89" s="321"/>
      <c r="F89" s="546" t="s">
        <v>43</v>
      </c>
      <c r="G89" s="547"/>
    </row>
    <row r="90" spans="1:12" ht="27" customHeight="1" thickBot="1" x14ac:dyDescent="0.45">
      <c r="A90" s="243" t="s">
        <v>44</v>
      </c>
      <c r="B90" s="244"/>
      <c r="C90" s="322" t="s">
        <v>45</v>
      </c>
      <c r="D90" s="246" t="s">
        <v>46</v>
      </c>
      <c r="E90" s="247" t="s">
        <v>47</v>
      </c>
      <c r="F90" s="246" t="s">
        <v>46</v>
      </c>
      <c r="G90" s="323" t="s">
        <v>47</v>
      </c>
      <c r="I90" s="249" t="s">
        <v>48</v>
      </c>
    </row>
    <row r="91" spans="1:12" ht="26.25" customHeight="1" x14ac:dyDescent="0.4">
      <c r="A91" s="243" t="s">
        <v>49</v>
      </c>
      <c r="B91" s="244"/>
      <c r="C91" s="324">
        <v>1</v>
      </c>
      <c r="D91" s="251"/>
      <c r="E91" s="252" t="str">
        <f>IF(ISBLANK(D91),"-",$D$101/$D$98*D91)</f>
        <v>-</v>
      </c>
      <c r="F91" s="251"/>
      <c r="G91" s="253" t="str">
        <f>IF(ISBLANK(F91),"-",$D$101/$F$98*F91)</f>
        <v>-</v>
      </c>
      <c r="I91" s="254"/>
    </row>
    <row r="92" spans="1:12" ht="26.25" customHeight="1" x14ac:dyDescent="0.4">
      <c r="A92" s="243" t="s">
        <v>50</v>
      </c>
      <c r="B92" s="244">
        <v>1</v>
      </c>
      <c r="C92" s="273">
        <v>2</v>
      </c>
      <c r="D92" s="256"/>
      <c r="E92" s="257" t="str">
        <f>IF(ISBLANK(D92),"-",$D$101/$D$98*D92)</f>
        <v>-</v>
      </c>
      <c r="F92" s="256"/>
      <c r="G92" s="258" t="str">
        <f>IF(ISBLANK(F92),"-",$D$101/$F$98*F92)</f>
        <v>-</v>
      </c>
      <c r="I92" s="528" t="e">
        <f>ABS((F96/D96*D95)-F95)/D95</f>
        <v>#DIV/0!</v>
      </c>
    </row>
    <row r="93" spans="1:12" ht="26.25" customHeight="1" x14ac:dyDescent="0.4">
      <c r="A93" s="243" t="s">
        <v>51</v>
      </c>
      <c r="B93" s="244">
        <v>1</v>
      </c>
      <c r="C93" s="273">
        <v>3</v>
      </c>
      <c r="D93" s="256"/>
      <c r="E93" s="257" t="str">
        <f>IF(ISBLANK(D93),"-",$D$101/$D$98*D93)</f>
        <v>-</v>
      </c>
      <c r="F93" s="256"/>
      <c r="G93" s="258" t="str">
        <f>IF(ISBLANK(F93),"-",$D$101/$F$98*F93)</f>
        <v>-</v>
      </c>
      <c r="I93" s="528"/>
    </row>
    <row r="94" spans="1:12" ht="27" customHeight="1" thickBot="1" x14ac:dyDescent="0.45">
      <c r="A94" s="243" t="s">
        <v>52</v>
      </c>
      <c r="B94" s="244">
        <v>1</v>
      </c>
      <c r="C94" s="325">
        <v>4</v>
      </c>
      <c r="D94" s="260"/>
      <c r="E94" s="261" t="str">
        <f>IF(ISBLANK(D94),"-",$D$101/$D$98*D94)</f>
        <v>-</v>
      </c>
      <c r="F94" s="326"/>
      <c r="G94" s="262" t="str">
        <f>IF(ISBLANK(F94),"-",$D$101/$F$98*F94)</f>
        <v>-</v>
      </c>
      <c r="I94" s="263"/>
    </row>
    <row r="95" spans="1:12" ht="27" customHeight="1" thickBot="1" x14ac:dyDescent="0.45">
      <c r="A95" s="243" t="s">
        <v>53</v>
      </c>
      <c r="B95" s="244">
        <v>1</v>
      </c>
      <c r="C95" s="227" t="s">
        <v>54</v>
      </c>
      <c r="D95" s="327" t="e">
        <f>AVERAGE(D91:D94)</f>
        <v>#DIV/0!</v>
      </c>
      <c r="E95" s="266" t="e">
        <f>AVERAGE(E91:E94)</f>
        <v>#DIV/0!</v>
      </c>
      <c r="F95" s="328" t="e">
        <f>AVERAGE(F91:F94)</f>
        <v>#DIV/0!</v>
      </c>
      <c r="G95" s="329" t="e">
        <f>AVERAGE(G91:G94)</f>
        <v>#DIV/0!</v>
      </c>
    </row>
    <row r="96" spans="1:12" ht="26.25" customHeight="1" x14ac:dyDescent="0.4">
      <c r="A96" s="243" t="s">
        <v>55</v>
      </c>
      <c r="B96" s="228">
        <v>1</v>
      </c>
      <c r="C96" s="330" t="s">
        <v>96</v>
      </c>
      <c r="D96" s="331"/>
      <c r="E96" s="215"/>
      <c r="F96" s="270"/>
    </row>
    <row r="97" spans="1:10" ht="26.25" customHeight="1" x14ac:dyDescent="0.4">
      <c r="A97" s="243" t="s">
        <v>57</v>
      </c>
      <c r="B97" s="228">
        <v>1</v>
      </c>
      <c r="C97" s="332" t="s">
        <v>97</v>
      </c>
      <c r="D97" s="333" t="e">
        <f>D96*$B$87</f>
        <v>#DIV/0!</v>
      </c>
      <c r="E97" s="273"/>
      <c r="F97" s="272" t="e">
        <f>F96*$B$87</f>
        <v>#DIV/0!</v>
      </c>
    </row>
    <row r="98" spans="1:10" ht="19.5" customHeight="1" thickBot="1" x14ac:dyDescent="0.35">
      <c r="A98" s="243" t="s">
        <v>59</v>
      </c>
      <c r="B98" s="273" t="e">
        <f>(B97/B96)*(B95/B94)*(B93/B92)*(B91/B90)*B89</f>
        <v>#DIV/0!</v>
      </c>
      <c r="C98" s="332" t="s">
        <v>98</v>
      </c>
      <c r="D98" s="334" t="e">
        <f>D97*$B$83/100</f>
        <v>#DIV/0!</v>
      </c>
      <c r="E98" s="275"/>
      <c r="F98" s="274" t="e">
        <f>F97*$B$83/100</f>
        <v>#DIV/0!</v>
      </c>
    </row>
    <row r="99" spans="1:10" ht="19.5" customHeight="1" thickBot="1" x14ac:dyDescent="0.35">
      <c r="A99" s="529" t="s">
        <v>61</v>
      </c>
      <c r="B99" s="530"/>
      <c r="C99" s="332" t="s">
        <v>99</v>
      </c>
      <c r="D99" s="335" t="e">
        <f>D98/$B$98</f>
        <v>#DIV/0!</v>
      </c>
      <c r="E99" s="275"/>
      <c r="F99" s="278" t="e">
        <f>F98/$B$98</f>
        <v>#DIV/0!</v>
      </c>
      <c r="H99" s="268"/>
    </row>
    <row r="100" spans="1:10" ht="19.5" customHeight="1" thickBot="1" x14ac:dyDescent="0.35">
      <c r="A100" s="531"/>
      <c r="B100" s="532"/>
      <c r="C100" s="332" t="s">
        <v>63</v>
      </c>
      <c r="D100" s="336" t="e">
        <f>$B$56/$B$116</f>
        <v>#DIV/0!</v>
      </c>
      <c r="F100" s="283"/>
      <c r="G100" s="337"/>
      <c r="H100" s="268"/>
    </row>
    <row r="101" spans="1:10" ht="18.75" x14ac:dyDescent="0.3">
      <c r="C101" s="332" t="s">
        <v>64</v>
      </c>
      <c r="D101" s="333" t="e">
        <f>D100*$B$98</f>
        <v>#DIV/0!</v>
      </c>
      <c r="F101" s="283"/>
      <c r="H101" s="268"/>
    </row>
    <row r="102" spans="1:10" ht="19.5" customHeight="1" thickBot="1" x14ac:dyDescent="0.35">
      <c r="C102" s="338" t="s">
        <v>65</v>
      </c>
      <c r="D102" s="339" t="e">
        <f>D101/B34</f>
        <v>#DIV/0!</v>
      </c>
      <c r="F102" s="287"/>
      <c r="H102" s="268"/>
      <c r="J102" s="340"/>
    </row>
    <row r="103" spans="1:10" ht="18.75" x14ac:dyDescent="0.3">
      <c r="C103" s="341" t="s">
        <v>100</v>
      </c>
      <c r="D103" s="342" t="e">
        <f>AVERAGE(E91:E94,G91:G94)</f>
        <v>#DIV/0!</v>
      </c>
      <c r="F103" s="287"/>
      <c r="G103" s="337"/>
      <c r="H103" s="268"/>
      <c r="J103" s="343"/>
    </row>
    <row r="104" spans="1:10" ht="18.75" x14ac:dyDescent="0.3">
      <c r="C104" s="315" t="s">
        <v>67</v>
      </c>
      <c r="D104" s="344" t="e">
        <f>STDEV(E91:E94,G91:G94)/D103</f>
        <v>#DIV/0!</v>
      </c>
      <c r="F104" s="287"/>
      <c r="H104" s="268"/>
      <c r="J104" s="343"/>
    </row>
    <row r="105" spans="1:10" ht="19.5" customHeight="1" thickBot="1" x14ac:dyDescent="0.35">
      <c r="C105" s="317" t="s">
        <v>8</v>
      </c>
      <c r="D105" s="345">
        <f>COUNT(E91:E94,G91:G94)</f>
        <v>0</v>
      </c>
      <c r="F105" s="287"/>
      <c r="H105" s="268"/>
      <c r="J105" s="343"/>
    </row>
    <row r="106" spans="1:10" ht="19.5" customHeight="1" thickBot="1" x14ac:dyDescent="0.35">
      <c r="A106" s="291"/>
      <c r="B106" s="291"/>
      <c r="C106" s="291"/>
      <c r="D106" s="291"/>
      <c r="E106" s="291"/>
    </row>
    <row r="107" spans="1:10" ht="27" customHeight="1" thickBot="1" x14ac:dyDescent="0.45">
      <c r="A107" s="241" t="s">
        <v>101</v>
      </c>
      <c r="B107" s="242"/>
      <c r="C107" s="297" t="s">
        <v>102</v>
      </c>
      <c r="D107" s="297" t="s">
        <v>46</v>
      </c>
      <c r="E107" s="297" t="s">
        <v>103</v>
      </c>
      <c r="F107" s="346" t="s">
        <v>104</v>
      </c>
    </row>
    <row r="108" spans="1:10" ht="26.25" customHeight="1" x14ac:dyDescent="0.4">
      <c r="A108" s="243" t="s">
        <v>105</v>
      </c>
      <c r="B108" s="244"/>
      <c r="C108" s="298">
        <v>1</v>
      </c>
      <c r="D108" s="347"/>
      <c r="E108" s="348" t="str">
        <f t="shared" ref="E108:E113" si="1">IF(ISBLANK(D108),"-",D108/$D$103*$D$100*$B$116)</f>
        <v>-</v>
      </c>
      <c r="F108" s="349" t="str">
        <f t="shared" ref="F108:F113" si="2">IF(ISBLANK(D108), "-", (E108/$B$56)*100)</f>
        <v>-</v>
      </c>
    </row>
    <row r="109" spans="1:10" ht="26.25" customHeight="1" x14ac:dyDescent="0.4">
      <c r="A109" s="243" t="s">
        <v>78</v>
      </c>
      <c r="B109" s="244"/>
      <c r="C109" s="302">
        <v>2</v>
      </c>
      <c r="D109" s="350"/>
      <c r="E109" s="351" t="str">
        <f t="shared" si="1"/>
        <v>-</v>
      </c>
      <c r="F109" s="352" t="str">
        <f t="shared" si="2"/>
        <v>-</v>
      </c>
    </row>
    <row r="110" spans="1:10" ht="26.25" customHeight="1" x14ac:dyDescent="0.4">
      <c r="A110" s="243" t="s">
        <v>79</v>
      </c>
      <c r="B110" s="244">
        <v>1</v>
      </c>
      <c r="C110" s="302">
        <v>3</v>
      </c>
      <c r="D110" s="350"/>
      <c r="E110" s="351" t="str">
        <f t="shared" si="1"/>
        <v>-</v>
      </c>
      <c r="F110" s="352" t="str">
        <f t="shared" si="2"/>
        <v>-</v>
      </c>
    </row>
    <row r="111" spans="1:10" ht="26.25" customHeight="1" x14ac:dyDescent="0.4">
      <c r="A111" s="243" t="s">
        <v>80</v>
      </c>
      <c r="B111" s="244">
        <v>1</v>
      </c>
      <c r="C111" s="302">
        <v>4</v>
      </c>
      <c r="D111" s="350"/>
      <c r="E111" s="351" t="str">
        <f t="shared" si="1"/>
        <v>-</v>
      </c>
      <c r="F111" s="352" t="str">
        <f t="shared" si="2"/>
        <v>-</v>
      </c>
    </row>
    <row r="112" spans="1:10" ht="26.25" customHeight="1" x14ac:dyDescent="0.4">
      <c r="A112" s="243" t="s">
        <v>81</v>
      </c>
      <c r="B112" s="244">
        <v>1</v>
      </c>
      <c r="C112" s="302">
        <v>5</v>
      </c>
      <c r="D112" s="350"/>
      <c r="E112" s="351" t="str">
        <f t="shared" si="1"/>
        <v>-</v>
      </c>
      <c r="F112" s="352" t="str">
        <f t="shared" si="2"/>
        <v>-</v>
      </c>
    </row>
    <row r="113" spans="1:10" ht="27" customHeight="1" thickBot="1" x14ac:dyDescent="0.45">
      <c r="A113" s="243" t="s">
        <v>83</v>
      </c>
      <c r="B113" s="244">
        <v>1</v>
      </c>
      <c r="C113" s="306">
        <v>6</v>
      </c>
      <c r="D113" s="353"/>
      <c r="E113" s="354" t="str">
        <f t="shared" si="1"/>
        <v>-</v>
      </c>
      <c r="F113" s="355" t="str">
        <f t="shared" si="2"/>
        <v>-</v>
      </c>
    </row>
    <row r="114" spans="1:10" ht="27" customHeight="1" thickBot="1" x14ac:dyDescent="0.45">
      <c r="A114" s="243" t="s">
        <v>84</v>
      </c>
      <c r="B114" s="244">
        <v>1</v>
      </c>
      <c r="C114" s="356"/>
      <c r="D114" s="273"/>
      <c r="E114" s="215"/>
      <c r="F114" s="352"/>
    </row>
    <row r="115" spans="1:10" ht="26.25" customHeight="1" x14ac:dyDescent="0.4">
      <c r="A115" s="243" t="s">
        <v>85</v>
      </c>
      <c r="B115" s="244">
        <v>1</v>
      </c>
      <c r="C115" s="356"/>
      <c r="D115" s="357" t="s">
        <v>54</v>
      </c>
      <c r="E115" s="358" t="e">
        <f>AVERAGE(E108:E113)</f>
        <v>#DIV/0!</v>
      </c>
      <c r="F115" s="359" t="e">
        <f>AVERAGE(F108:F113)</f>
        <v>#DIV/0!</v>
      </c>
    </row>
    <row r="116" spans="1:10" ht="27" customHeight="1" thickBot="1" x14ac:dyDescent="0.45">
      <c r="A116" s="243" t="s">
        <v>86</v>
      </c>
      <c r="B116" s="255" t="e">
        <f>(B115/B114)*(B113/B112)*(B111/B110)*(B109/B108)*B107</f>
        <v>#DIV/0!</v>
      </c>
      <c r="C116" s="360"/>
      <c r="D116" s="361" t="s">
        <v>67</v>
      </c>
      <c r="E116" s="316" t="e">
        <f>STDEV(E108:E113)/E115</f>
        <v>#DIV/0!</v>
      </c>
      <c r="F116" s="362" t="e">
        <f>STDEV(F108:F113)/F115</f>
        <v>#DIV/0!</v>
      </c>
      <c r="I116" s="215"/>
    </row>
    <row r="117" spans="1:10" ht="27" customHeight="1" thickBot="1" x14ac:dyDescent="0.45">
      <c r="A117" s="529" t="s">
        <v>61</v>
      </c>
      <c r="B117" s="533"/>
      <c r="C117" s="363"/>
      <c r="D117" s="317" t="s">
        <v>8</v>
      </c>
      <c r="E117" s="364">
        <f>COUNT(E108:E113)</f>
        <v>0</v>
      </c>
      <c r="F117" s="365">
        <f>COUNT(F108:F113)</f>
        <v>0</v>
      </c>
      <c r="I117" s="215"/>
      <c r="J117" s="343"/>
    </row>
    <row r="118" spans="1:10" ht="26.25" customHeight="1" thickBot="1" x14ac:dyDescent="0.35">
      <c r="A118" s="531"/>
      <c r="B118" s="534"/>
      <c r="C118" s="215"/>
      <c r="D118" s="366"/>
      <c r="E118" s="535" t="s">
        <v>106</v>
      </c>
      <c r="F118" s="536"/>
      <c r="G118" s="215"/>
      <c r="H118" s="215"/>
      <c r="I118" s="215"/>
    </row>
    <row r="119" spans="1:10" ht="25.5" customHeight="1" x14ac:dyDescent="0.4">
      <c r="A119" s="367"/>
      <c r="B119" s="239"/>
      <c r="C119" s="215"/>
      <c r="D119" s="361" t="s">
        <v>107</v>
      </c>
      <c r="E119" s="368">
        <f>MIN(E108:E113)</f>
        <v>0</v>
      </c>
      <c r="F119" s="369">
        <f>MIN(F108:F113)</f>
        <v>0</v>
      </c>
      <c r="G119" s="215"/>
      <c r="H119" s="215"/>
      <c r="I119" s="215"/>
    </row>
    <row r="120" spans="1:10" ht="24" customHeight="1" thickBot="1" x14ac:dyDescent="0.45">
      <c r="A120" s="367"/>
      <c r="B120" s="239"/>
      <c r="C120" s="215"/>
      <c r="D120" s="284" t="s">
        <v>108</v>
      </c>
      <c r="E120" s="370">
        <f>MAX(E108:E113)</f>
        <v>0</v>
      </c>
      <c r="F120" s="371">
        <f>MAX(F108:F113)</f>
        <v>0</v>
      </c>
      <c r="G120" s="215"/>
      <c r="H120" s="215"/>
      <c r="I120" s="215"/>
    </row>
    <row r="121" spans="1:10" ht="27" customHeight="1" x14ac:dyDescent="0.3">
      <c r="A121" s="367"/>
      <c r="B121" s="239"/>
      <c r="C121" s="215"/>
      <c r="D121" s="215"/>
      <c r="E121" s="215"/>
      <c r="F121" s="273"/>
      <c r="G121" s="215"/>
      <c r="H121" s="215"/>
      <c r="I121" s="215"/>
    </row>
    <row r="122" spans="1:10" ht="25.5" customHeight="1" x14ac:dyDescent="0.3">
      <c r="A122" s="367"/>
      <c r="B122" s="239"/>
      <c r="C122" s="215"/>
      <c r="D122" s="215"/>
      <c r="E122" s="215"/>
      <c r="F122" s="273"/>
      <c r="G122" s="215"/>
      <c r="H122" s="215"/>
      <c r="I122" s="215"/>
    </row>
    <row r="123" spans="1:10" ht="18.75" x14ac:dyDescent="0.3">
      <c r="A123" s="367"/>
      <c r="B123" s="239"/>
      <c r="C123" s="215"/>
      <c r="D123" s="215"/>
      <c r="E123" s="215"/>
      <c r="F123" s="273"/>
      <c r="G123" s="215"/>
      <c r="H123" s="215"/>
      <c r="I123" s="215"/>
    </row>
    <row r="124" spans="1:10" ht="45.75" customHeight="1" x14ac:dyDescent="0.65">
      <c r="A124" s="226" t="s">
        <v>89</v>
      </c>
      <c r="B124" s="227" t="s">
        <v>109</v>
      </c>
      <c r="C124" s="537" t="str">
        <f>B26</f>
        <v>PYRAZINAMIDE</v>
      </c>
      <c r="D124" s="537"/>
      <c r="E124" s="215" t="s">
        <v>110</v>
      </c>
      <c r="F124" s="215"/>
      <c r="G124" s="372" t="e">
        <f>F115</f>
        <v>#DIV/0!</v>
      </c>
      <c r="H124" s="215"/>
      <c r="I124" s="215"/>
    </row>
    <row r="125" spans="1:10" ht="45.75" customHeight="1" x14ac:dyDescent="0.65">
      <c r="A125" s="226"/>
      <c r="B125" s="227" t="s">
        <v>111</v>
      </c>
      <c r="C125" s="227" t="s">
        <v>112</v>
      </c>
      <c r="D125" s="372">
        <f>MIN(F108:F113)</f>
        <v>0</v>
      </c>
      <c r="E125" s="227" t="s">
        <v>113</v>
      </c>
      <c r="F125" s="372">
        <f>MAX(F108:F113)</f>
        <v>0</v>
      </c>
      <c r="G125" s="373"/>
      <c r="H125" s="215"/>
      <c r="I125" s="215"/>
    </row>
    <row r="126" spans="1:10" ht="19.5" customHeight="1" thickBot="1" x14ac:dyDescent="0.35">
      <c r="A126" s="374"/>
      <c r="B126" s="374"/>
      <c r="C126" s="375"/>
      <c r="D126" s="375"/>
      <c r="E126" s="375"/>
      <c r="F126" s="375"/>
      <c r="G126" s="375"/>
      <c r="H126" s="375"/>
    </row>
    <row r="127" spans="1:10" ht="18.75" x14ac:dyDescent="0.3">
      <c r="B127" s="538" t="s">
        <v>9</v>
      </c>
      <c r="C127" s="538"/>
      <c r="E127" s="322" t="s">
        <v>10</v>
      </c>
      <c r="F127" s="376"/>
      <c r="G127" s="538" t="s">
        <v>11</v>
      </c>
      <c r="H127" s="538"/>
    </row>
    <row r="128" spans="1:10" ht="69.95" customHeight="1" x14ac:dyDescent="0.3">
      <c r="A128" s="226" t="s">
        <v>12</v>
      </c>
      <c r="B128" s="377"/>
      <c r="C128" s="377"/>
      <c r="E128" s="377"/>
      <c r="F128" s="215"/>
      <c r="G128" s="377"/>
      <c r="H128" s="377"/>
    </row>
    <row r="129" spans="1:9" ht="69.95" customHeight="1" x14ac:dyDescent="0.3">
      <c r="A129" s="226" t="s">
        <v>13</v>
      </c>
      <c r="B129" s="378"/>
      <c r="C129" s="378"/>
      <c r="E129" s="378"/>
      <c r="F129" s="215"/>
      <c r="G129" s="379"/>
      <c r="H129" s="379"/>
    </row>
    <row r="130" spans="1:9" ht="18.75" x14ac:dyDescent="0.3">
      <c r="A130" s="273"/>
      <c r="B130" s="273"/>
      <c r="C130" s="273"/>
      <c r="D130" s="273"/>
      <c r="E130" s="273"/>
      <c r="F130" s="275"/>
      <c r="G130" s="273"/>
      <c r="H130" s="273"/>
      <c r="I130" s="215"/>
    </row>
    <row r="131" spans="1:9" ht="18.75" x14ac:dyDescent="0.3">
      <c r="A131" s="273"/>
      <c r="B131" s="273"/>
      <c r="C131" s="273"/>
      <c r="D131" s="273"/>
      <c r="E131" s="273"/>
      <c r="F131" s="275"/>
      <c r="G131" s="273"/>
      <c r="H131" s="273"/>
      <c r="I131" s="215"/>
    </row>
    <row r="132" spans="1:9" ht="18.75" x14ac:dyDescent="0.3">
      <c r="A132" s="273"/>
      <c r="B132" s="273"/>
      <c r="C132" s="273"/>
      <c r="D132" s="273"/>
      <c r="E132" s="273"/>
      <c r="F132" s="275"/>
      <c r="G132" s="273"/>
      <c r="H132" s="273"/>
      <c r="I132" s="215"/>
    </row>
    <row r="133" spans="1:9" ht="18.75" x14ac:dyDescent="0.3">
      <c r="A133" s="273"/>
      <c r="B133" s="273"/>
      <c r="C133" s="273"/>
      <c r="D133" s="273"/>
      <c r="E133" s="273"/>
      <c r="F133" s="275"/>
      <c r="G133" s="273"/>
      <c r="H133" s="273"/>
      <c r="I133" s="215"/>
    </row>
    <row r="134" spans="1:9" ht="18.75" x14ac:dyDescent="0.3">
      <c r="A134" s="273"/>
      <c r="B134" s="273"/>
      <c r="C134" s="273"/>
      <c r="D134" s="273"/>
      <c r="E134" s="273"/>
      <c r="F134" s="275"/>
      <c r="G134" s="273"/>
      <c r="H134" s="273"/>
      <c r="I134" s="215"/>
    </row>
    <row r="135" spans="1:9" ht="18.75" x14ac:dyDescent="0.3">
      <c r="A135" s="273"/>
      <c r="B135" s="273"/>
      <c r="C135" s="273"/>
      <c r="D135" s="273"/>
      <c r="E135" s="273"/>
      <c r="F135" s="275"/>
      <c r="G135" s="273"/>
      <c r="H135" s="273"/>
      <c r="I135" s="215"/>
    </row>
    <row r="136" spans="1:9" ht="18.75" x14ac:dyDescent="0.3">
      <c r="A136" s="273"/>
      <c r="B136" s="273"/>
      <c r="C136" s="273"/>
      <c r="D136" s="273"/>
      <c r="E136" s="273"/>
      <c r="F136" s="275"/>
      <c r="G136" s="273"/>
      <c r="H136" s="273"/>
      <c r="I136" s="215"/>
    </row>
    <row r="137" spans="1:9" ht="18.75" x14ac:dyDescent="0.3">
      <c r="A137" s="273"/>
      <c r="B137" s="273"/>
      <c r="C137" s="273"/>
      <c r="D137" s="273"/>
      <c r="E137" s="273"/>
      <c r="F137" s="275"/>
      <c r="G137" s="273"/>
      <c r="H137" s="273"/>
      <c r="I137" s="215"/>
    </row>
    <row r="138" spans="1:9" ht="18.75" x14ac:dyDescent="0.3">
      <c r="A138" s="273"/>
      <c r="B138" s="273"/>
      <c r="C138" s="273"/>
      <c r="D138" s="273"/>
      <c r="E138" s="273"/>
      <c r="F138" s="275"/>
      <c r="G138" s="273"/>
      <c r="H138" s="273"/>
      <c r="I138" s="215"/>
    </row>
    <row r="250" spans="1:1" x14ac:dyDescent="0.25">
      <c r="A250" s="214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4"/>
  <sheetViews>
    <sheetView workbookViewId="0">
      <selection activeCell="F4" sqref="F4"/>
    </sheetView>
  </sheetViews>
  <sheetFormatPr defaultRowHeight="12.75" x14ac:dyDescent="0.2"/>
  <sheetData>
    <row r="1" spans="6:6" x14ac:dyDescent="0.2">
      <c r="F1">
        <v>6.72987</v>
      </c>
    </row>
    <row r="2" spans="6:6" x14ac:dyDescent="0.2">
      <c r="F2">
        <v>5.37134</v>
      </c>
    </row>
    <row r="3" spans="6:6" x14ac:dyDescent="0.2">
      <c r="F3">
        <f>F1-F2</f>
        <v>1.35853</v>
      </c>
    </row>
    <row r="4" spans="6:6" x14ac:dyDescent="0.2">
      <c r="F4" s="570">
        <f>F3/F1</f>
        <v>0.2018657121162816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Uniformity</vt:lpstr>
      <vt:lpstr>RIF SST</vt:lpstr>
      <vt:lpstr>Rifampicin</vt:lpstr>
      <vt:lpstr>ISO SST</vt:lpstr>
      <vt:lpstr>Isoniazid</vt:lpstr>
      <vt:lpstr>PYR SST</vt:lpstr>
      <vt:lpstr>Pyrazinamide</vt:lpstr>
      <vt:lpstr>Friability</vt:lpstr>
      <vt:lpstr>Isoniazid!Print_Area</vt:lpstr>
      <vt:lpstr>Pyrazinamide!Print_Area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2018-01-09T12:27:33Z</cp:lastPrinted>
  <dcterms:created xsi:type="dcterms:W3CDTF">2005-07-05T10:19:27Z</dcterms:created>
  <dcterms:modified xsi:type="dcterms:W3CDTF">2018-01-09T12:32:08Z</dcterms:modified>
</cp:coreProperties>
</file>