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630" windowWidth="17895" windowHeight="9150" activeTab="6"/>
  </bookViews>
  <sheets>
    <sheet name="RIF SST" sheetId="6" r:id="rId1"/>
    <sheet name="ISO SST" sheetId="7" r:id="rId2"/>
    <sheet name="Rifampicin" sheetId="8" r:id="rId3"/>
    <sheet name="isoniazid" sheetId="9" r:id="rId4"/>
    <sheet name="PYRAZINAMIDE" sheetId="10" r:id="rId5"/>
    <sheet name="sst Pyrazinamide" sheetId="11" r:id="rId6"/>
    <sheet name="Uniformity" sheetId="2" r:id="rId7"/>
  </sheets>
  <definedNames>
    <definedName name="_xlnm.Print_Area" localSheetId="1">'ISO SST'!$A$15:$G$64</definedName>
    <definedName name="_xlnm.Print_Area" localSheetId="3">isoniazid!$A$1:$I$131</definedName>
    <definedName name="_xlnm.Print_Area" localSheetId="4">PYRAZINAMIDE!$A$1:$I$130</definedName>
    <definedName name="_xlnm.Print_Area" localSheetId="0">'RIF SST'!$A$16:$G$63</definedName>
    <definedName name="_xlnm.Print_Area" localSheetId="2">Rifampicin!$A$1:$I$132</definedName>
    <definedName name="_xlnm.Print_Area" localSheetId="5">'sst Pyrazinamide'!$A$15:$G$63</definedName>
    <definedName name="_xlnm.Print_Area" localSheetId="6">Uniformity!$A$11:$F$56</definedName>
  </definedNames>
  <calcPr calcId="124519"/>
</workbook>
</file>

<file path=xl/calcChain.xml><?xml version="1.0" encoding="utf-8"?>
<calcChain xmlns="http://schemas.openxmlformats.org/spreadsheetml/2006/main">
  <c r="B21" i="11"/>
  <c r="B21" i="7"/>
  <c r="B57" i="10"/>
  <c r="B69" s="1"/>
  <c r="B57" i="9"/>
  <c r="B57" i="8"/>
  <c r="B53" i="11"/>
  <c r="E51"/>
  <c r="D51"/>
  <c r="C51"/>
  <c r="B51"/>
  <c r="B52" s="1"/>
  <c r="B32"/>
  <c r="E30"/>
  <c r="C30"/>
  <c r="B30"/>
  <c r="B31" s="1"/>
  <c r="C124" i="10"/>
  <c r="B116"/>
  <c r="F113"/>
  <c r="E113"/>
  <c r="F112"/>
  <c r="E112"/>
  <c r="F111"/>
  <c r="E111"/>
  <c r="F110"/>
  <c r="E110"/>
  <c r="F109"/>
  <c r="E109"/>
  <c r="F108"/>
  <c r="F125" s="1"/>
  <c r="E108"/>
  <c r="E120" s="1"/>
  <c r="D100"/>
  <c r="D101" s="1"/>
  <c r="D102" s="1"/>
  <c r="B98"/>
  <c r="F95"/>
  <c r="I92" s="1"/>
  <c r="D95"/>
  <c r="G94"/>
  <c r="E94"/>
  <c r="G93"/>
  <c r="E93"/>
  <c r="G92"/>
  <c r="E92"/>
  <c r="D103" s="1"/>
  <c r="D104" s="1"/>
  <c r="G91"/>
  <c r="G95" s="1"/>
  <c r="E91"/>
  <c r="D105" s="1"/>
  <c r="B87"/>
  <c r="F97" s="1"/>
  <c r="F98" s="1"/>
  <c r="F99" s="1"/>
  <c r="B83"/>
  <c r="C76"/>
  <c r="H71"/>
  <c r="G71"/>
  <c r="B68"/>
  <c r="H67"/>
  <c r="G67"/>
  <c r="H63"/>
  <c r="G63"/>
  <c r="C56"/>
  <c r="B55"/>
  <c r="D48"/>
  <c r="D49" s="1"/>
  <c r="B45"/>
  <c r="F42"/>
  <c r="D42"/>
  <c r="G41"/>
  <c r="E41"/>
  <c r="B34"/>
  <c r="D44" s="1"/>
  <c r="D45" s="1"/>
  <c r="B30"/>
  <c r="C124" i="9"/>
  <c r="E120"/>
  <c r="E117"/>
  <c r="B116"/>
  <c r="F113"/>
  <c r="E113"/>
  <c r="F112"/>
  <c r="E112"/>
  <c r="F111"/>
  <c r="E111"/>
  <c r="F110"/>
  <c r="E110"/>
  <c r="F109"/>
  <c r="E109"/>
  <c r="F108"/>
  <c r="F125" s="1"/>
  <c r="E108"/>
  <c r="E115" s="1"/>
  <c r="E116" s="1"/>
  <c r="D100"/>
  <c r="D101" s="1"/>
  <c r="D102" s="1"/>
  <c r="B98"/>
  <c r="F95"/>
  <c r="I92" s="1"/>
  <c r="D95"/>
  <c r="G94"/>
  <c r="E94"/>
  <c r="D103" s="1"/>
  <c r="D104" s="1"/>
  <c r="G93"/>
  <c r="E93"/>
  <c r="G92"/>
  <c r="E92"/>
  <c r="E95" s="1"/>
  <c r="G91"/>
  <c r="G95" s="1"/>
  <c r="E91"/>
  <c r="D105" s="1"/>
  <c r="B87"/>
  <c r="F97" s="1"/>
  <c r="F98" s="1"/>
  <c r="F99" s="1"/>
  <c r="B83"/>
  <c r="C76"/>
  <c r="H71"/>
  <c r="G71"/>
  <c r="B68"/>
  <c r="H67"/>
  <c r="G67"/>
  <c r="H63"/>
  <c r="G63"/>
  <c r="C56"/>
  <c r="B55"/>
  <c r="D49"/>
  <c r="D48"/>
  <c r="B45"/>
  <c r="D44"/>
  <c r="D45" s="1"/>
  <c r="F42"/>
  <c r="D42"/>
  <c r="I39" s="1"/>
  <c r="G41"/>
  <c r="E41"/>
  <c r="B34"/>
  <c r="F44" s="1"/>
  <c r="F45" s="1"/>
  <c r="B30"/>
  <c r="F125" i="8"/>
  <c r="C124"/>
  <c r="F120"/>
  <c r="F117"/>
  <c r="B116"/>
  <c r="F113"/>
  <c r="E113"/>
  <c r="F112"/>
  <c r="E112"/>
  <c r="F111"/>
  <c r="E111"/>
  <c r="F110"/>
  <c r="E110"/>
  <c r="F109"/>
  <c r="E109"/>
  <c r="E120" s="1"/>
  <c r="F108"/>
  <c r="D125" s="1"/>
  <c r="E108"/>
  <c r="E119" s="1"/>
  <c r="D100"/>
  <c r="D101" s="1"/>
  <c r="D102" s="1"/>
  <c r="B98"/>
  <c r="F95"/>
  <c r="D95"/>
  <c r="G94"/>
  <c r="G95" s="1"/>
  <c r="E94"/>
  <c r="G93"/>
  <c r="E93"/>
  <c r="I92"/>
  <c r="G92"/>
  <c r="E92"/>
  <c r="G91"/>
  <c r="E91"/>
  <c r="D105" s="1"/>
  <c r="B87"/>
  <c r="D97" s="1"/>
  <c r="D98" s="1"/>
  <c r="D99" s="1"/>
  <c r="B83"/>
  <c r="C76"/>
  <c r="H71"/>
  <c r="G71"/>
  <c r="B68"/>
  <c r="H67"/>
  <c r="G67"/>
  <c r="H63"/>
  <c r="G63"/>
  <c r="C56"/>
  <c r="B55"/>
  <c r="D48"/>
  <c r="D49" s="1"/>
  <c r="B45"/>
  <c r="F42"/>
  <c r="D42"/>
  <c r="G41"/>
  <c r="E41"/>
  <c r="B34"/>
  <c r="D44" s="1"/>
  <c r="D45" s="1"/>
  <c r="B30"/>
  <c r="B53" i="7"/>
  <c r="E51"/>
  <c r="D51"/>
  <c r="C51"/>
  <c r="B51"/>
  <c r="B52" s="1"/>
  <c r="B32"/>
  <c r="E30"/>
  <c r="D30"/>
  <c r="C30"/>
  <c r="B30"/>
  <c r="B31" s="1"/>
  <c r="B53" i="6"/>
  <c r="E51"/>
  <c r="D51"/>
  <c r="C51"/>
  <c r="B51"/>
  <c r="B52" s="1"/>
  <c r="B32"/>
  <c r="E30"/>
  <c r="D30"/>
  <c r="C30"/>
  <c r="B30"/>
  <c r="B31" s="1"/>
  <c r="B21"/>
  <c r="C50" i="2"/>
  <c r="C46"/>
  <c r="C45"/>
  <c r="D43"/>
  <c r="D39"/>
  <c r="D37"/>
  <c r="D35"/>
  <c r="D31"/>
  <c r="D29"/>
  <c r="D27"/>
  <c r="D25"/>
  <c r="C19"/>
  <c r="G40" i="9" l="1"/>
  <c r="B69" i="8"/>
  <c r="B69" i="9"/>
  <c r="I39" i="8"/>
  <c r="I39" i="10"/>
  <c r="G38" i="9"/>
  <c r="F46"/>
  <c r="D46"/>
  <c r="E40"/>
  <c r="E38"/>
  <c r="E38" i="8"/>
  <c r="D46"/>
  <c r="E38" i="10"/>
  <c r="D46"/>
  <c r="E39" i="8"/>
  <c r="F44"/>
  <c r="F45" s="1"/>
  <c r="F46" s="1"/>
  <c r="E95"/>
  <c r="F97"/>
  <c r="F98" s="1"/>
  <c r="F99" s="1"/>
  <c r="E115"/>
  <c r="E116" s="1"/>
  <c r="F119"/>
  <c r="G39" i="9"/>
  <c r="D97"/>
  <c r="D98" s="1"/>
  <c r="D99" s="1"/>
  <c r="E119"/>
  <c r="E39" i="10"/>
  <c r="F44"/>
  <c r="F45" s="1"/>
  <c r="D97"/>
  <c r="D98" s="1"/>
  <c r="D99" s="1"/>
  <c r="E119"/>
  <c r="D103" i="8"/>
  <c r="D104" s="1"/>
  <c r="F115"/>
  <c r="E117"/>
  <c r="F119" i="9"/>
  <c r="E95" i="10"/>
  <c r="E115"/>
  <c r="E116" s="1"/>
  <c r="F119"/>
  <c r="F115" i="9"/>
  <c r="D125"/>
  <c r="F115" i="10"/>
  <c r="E117"/>
  <c r="D125"/>
  <c r="G38" i="8"/>
  <c r="E40"/>
  <c r="E39" i="9"/>
  <c r="F117"/>
  <c r="F120"/>
  <c r="G38" i="10"/>
  <c r="E40"/>
  <c r="F117"/>
  <c r="F120"/>
  <c r="D49" i="2"/>
  <c r="D40"/>
  <c r="D36"/>
  <c r="D32"/>
  <c r="D28"/>
  <c r="D24"/>
  <c r="D50"/>
  <c r="B49"/>
  <c r="D42"/>
  <c r="D38"/>
  <c r="D34"/>
  <c r="D30"/>
  <c r="D26"/>
  <c r="D33"/>
  <c r="D41"/>
  <c r="C49"/>
  <c r="G40" i="8" l="1"/>
  <c r="G124" i="10"/>
  <c r="F116"/>
  <c r="G124" i="8"/>
  <c r="F116"/>
  <c r="F46" i="10"/>
  <c r="G39"/>
  <c r="E42"/>
  <c r="E42" i="8"/>
  <c r="G124" i="9"/>
  <c r="F116"/>
  <c r="G39" i="8"/>
  <c r="G42" s="1"/>
  <c r="G40" i="10"/>
  <c r="D50" i="9"/>
  <c r="E42"/>
  <c r="D52"/>
  <c r="G42"/>
  <c r="D50" i="10" l="1"/>
  <c r="G66" s="1"/>
  <c r="H66" s="1"/>
  <c r="D52" i="8"/>
  <c r="G69" i="10"/>
  <c r="H69" s="1"/>
  <c r="G64"/>
  <c r="H64" s="1"/>
  <c r="G62"/>
  <c r="H62" s="1"/>
  <c r="G60"/>
  <c r="G65"/>
  <c r="H65" s="1"/>
  <c r="D51"/>
  <c r="G68"/>
  <c r="H68" s="1"/>
  <c r="D52"/>
  <c r="G69" i="9"/>
  <c r="H69" s="1"/>
  <c r="G66"/>
  <c r="H66" s="1"/>
  <c r="G64"/>
  <c r="H64" s="1"/>
  <c r="G62"/>
  <c r="H62" s="1"/>
  <c r="G60"/>
  <c r="G70"/>
  <c r="H70" s="1"/>
  <c r="G65"/>
  <c r="H65" s="1"/>
  <c r="G68"/>
  <c r="H68" s="1"/>
  <c r="G61"/>
  <c r="H61" s="1"/>
  <c r="D51"/>
  <c r="G42" i="10"/>
  <c r="D50" i="8"/>
  <c r="G64" s="1"/>
  <c r="H64" s="1"/>
  <c r="G61" i="10" l="1"/>
  <c r="H61" s="1"/>
  <c r="G70"/>
  <c r="H70" s="1"/>
  <c r="G65" i="8"/>
  <c r="H65" s="1"/>
  <c r="G66"/>
  <c r="H66" s="1"/>
  <c r="G68"/>
  <c r="H68" s="1"/>
  <c r="G69"/>
  <c r="H69" s="1"/>
  <c r="G62"/>
  <c r="H62" s="1"/>
  <c r="D51"/>
  <c r="G70"/>
  <c r="H70" s="1"/>
  <c r="G61"/>
  <c r="H61" s="1"/>
  <c r="G60"/>
  <c r="H60" i="9"/>
  <c r="G74"/>
  <c r="G72"/>
  <c r="G73" s="1"/>
  <c r="H60" i="10"/>
  <c r="G72" l="1"/>
  <c r="G73" s="1"/>
  <c r="G74"/>
  <c r="H74" i="9"/>
  <c r="H72"/>
  <c r="H74" i="10"/>
  <c r="H72"/>
  <c r="H60" i="8"/>
  <c r="G74"/>
  <c r="G72"/>
  <c r="G73" s="1"/>
  <c r="G76" i="10" l="1"/>
  <c r="H73"/>
  <c r="G76" i="9"/>
  <c r="H73"/>
  <c r="H74" i="8"/>
  <c r="H72"/>
  <c r="G76" l="1"/>
  <c r="H73"/>
</calcChain>
</file>

<file path=xl/sharedStrings.xml><?xml version="1.0" encoding="utf-8"?>
<sst xmlns="http://schemas.openxmlformats.org/spreadsheetml/2006/main" count="669" uniqueCount="147">
  <si>
    <t>HPLC System Suitability Report</t>
  </si>
  <si>
    <t>Analysis Data</t>
  </si>
  <si>
    <t>Assay</t>
  </si>
  <si>
    <t>Sample(s)</t>
  </si>
  <si>
    <t>Reference Substance:</t>
  </si>
  <si>
    <t xml:space="preserve">RIFAMPICIN 75 mg,ISONIAZID 50 mg &amp; PYRAZINAMIDE  150 mg DISPERSIBLE TABLETS </t>
  </si>
  <si>
    <t>% age Purity:</t>
  </si>
  <si>
    <t>NDQB201709220</t>
  </si>
  <si>
    <t>Weight (mg):</t>
  </si>
  <si>
    <t>Rifampicin, Isoniazid &amp; Pyrazinamide</t>
  </si>
  <si>
    <t>Standard Conc (mg/mL):</t>
  </si>
  <si>
    <t>Each dispersible tablet contains: Rifampicin BP 75 mg, Isoniazid BP 50 mg and Pyrazinamide BP 150 mg.</t>
  </si>
  <si>
    <t>2017-09-28 08:23:45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</si>
  <si>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</si>
  <si>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</si>
  <si>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</si>
  <si>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</si>
  <si>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</si>
  <si>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</si>
  <si>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</si>
  <si>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</si>
  <si>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</si>
  <si>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</si>
  <si>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</si>
  <si>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</si>
  <si>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</si>
  <si>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</si>
  <si>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</si>
  <si>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</si>
  <si>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</si>
  <si>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</si>
  <si>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</si>
  <si>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</si>
  <si>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</si>
  <si>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</si>
  <si>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</si>
  <si>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</si>
  <si>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</si>
  <si>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</si>
  <si>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</si>
  <si>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</si>
  <si>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</si>
  <si>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</si>
  <si>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</si>
  <si>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</si>
  <si>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</si>
  <si>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</si>
  <si>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</si>
  <si>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</si>
  <si>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</si>
  <si>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</si>
  <si>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</si>
  <si>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</si>
  <si>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</si>
  <si>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</si>
  <si>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</si>
  <si>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</si>
  <si>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</si>
  <si>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</si>
  <si>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</si>
  <si>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</si>
  <si>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</si>
  <si>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</si>
  <si>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</si>
  <si>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</si>
  <si>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</si>
  <si>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</si>
  <si>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</si>
  <si>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</si>
  <si>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</si>
  <si>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</si>
  <si>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</si>
  <si>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</si>
  <si>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</si>
  <si>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</si>
  <si>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</si>
  <si>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</si>
  <si>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</si>
  <si>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</si>
  <si>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</si>
  <si>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</si>
  <si>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</si>
  <si>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</si>
  <si>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</si>
  <si>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</si>
  <si>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</si>
  <si>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</si>
  <si>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</si>
  <si>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</si>
  <si>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</si>
  <si>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</si>
  <si>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</si>
  <si>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</si>
  <si>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</si>
  <si>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</si>
  <si>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</si>
  <si>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</si>
  <si>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</si>
  <si>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</si>
  <si>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</si>
  <si>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</si>
  <si>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</si>
  <si>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</si>
  <si>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</si>
  <si>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</si>
  <si>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</si>
  <si>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</si>
  <si>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</si>
  <si>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</si>
  <si>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</si>
  <si>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</si>
  <si>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</si>
  <si>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</si>
  <si>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</si>
  <si>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</si>
  <si>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</si>
  <si>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</si>
  <si>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</si>
  <si>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</si>
  <si>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</si>
  <si>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</si>
  <si>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</si>
  <si>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</si>
  <si>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</si>
  <si>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</si>
  <si>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</si>
  <si>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</si>
  <si>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</si>
  <si>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</si>
  <si>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</si>
  <si>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</si>
  <si>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</si>
  <si>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</si>
  <si>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</si>
  <si>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</si>
  <si>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t>ISONIAZID</t>
  </si>
  <si>
    <t>Resolution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</si>
  <si>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</si>
  <si>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t>The Resolution Between isoniazid and Pyrazinamide nlt 4.0</t>
  </si>
  <si>
    <t xml:space="preserve">RIFAMPICIN 75 mg </t>
  </si>
  <si>
    <t>Each  dispersible tablet contains: Rifampicin BP 75 mg and Isoniazid BP 50 mg.</t>
  </si>
  <si>
    <t>R4-1</t>
  </si>
  <si>
    <t>, Isoniazid</t>
  </si>
  <si>
    <t>I8-4</t>
  </si>
  <si>
    <t>PYRAZINAMIDE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</si>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</sst>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/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26" xfId="2" applyNumberFormat="1" applyFont="1" applyFill="1" applyBorder="1" applyAlignment="1" applyProtection="1">
      <alignment horizontal="center"/>
      <protection locked="0"/>
    </xf>
    <xf numFmtId="0" fontId="7" fillId="8" borderId="58" xfId="2" applyFont="1" applyFill="1" applyBorder="1" applyAlignment="1">
      <alignment horizontal="center"/>
    </xf>
    <xf numFmtId="2" fontId="7" fillId="3" borderId="31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3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2" xfId="2" applyNumberFormat="1" applyFont="1" applyFill="1" applyBorder="1" applyAlignment="1">
      <alignment horizontal="center"/>
    </xf>
    <xf numFmtId="0" fontId="2" fillId="9" borderId="57" xfId="2" applyFont="1" applyFill="1" applyBorder="1"/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0" xfId="2" applyFont="1" applyFill="1" applyBorder="1"/>
    <xf numFmtId="0" fontId="2" fillId="2" borderId="58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2" fillId="2" borderId="59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6" fillId="2" borderId="6" xfId="2" applyFont="1" applyFill="1" applyBorder="1"/>
    <xf numFmtId="0" fontId="6" fillId="2" borderId="8" xfId="2" applyFont="1" applyFill="1" applyBorder="1"/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2" applyFont="1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165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74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0" fillId="2" borderId="0" xfId="3" applyNumberFormat="1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9" borderId="57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2"/>
    <cellStyle name="Normal 3" xfId="3"/>
    <cellStyle name="Normal 4" xfId="1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16" zoomScale="68" zoomScaleNormal="68" workbookViewId="0">
      <selection activeCell="A16" sqref="A16:G63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76" t="s">
        <v>0</v>
      </c>
      <c r="B15" s="476"/>
      <c r="C15" s="476"/>
      <c r="D15" s="476"/>
      <c r="E15" s="476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131</v>
      </c>
      <c r="D17" s="54"/>
      <c r="E17" s="55"/>
    </row>
    <row r="18" spans="1:5" ht="16.5" customHeight="1">
      <c r="A18" s="56" t="s">
        <v>4</v>
      </c>
      <c r="B18" s="49" t="s">
        <v>132</v>
      </c>
      <c r="C18" s="55"/>
      <c r="D18" s="55"/>
      <c r="E18" s="55"/>
    </row>
    <row r="19" spans="1:5" ht="16.5" customHeight="1">
      <c r="A19" s="56" t="s">
        <v>6</v>
      </c>
      <c r="B19" s="57">
        <v>96.03</v>
      </c>
      <c r="C19" s="55"/>
      <c r="D19" s="55"/>
      <c r="E19" s="55"/>
    </row>
    <row r="20" spans="1:5" ht="16.5" customHeight="1">
      <c r="A20" s="53" t="s">
        <v>8</v>
      </c>
      <c r="B20" s="57">
        <v>21.95</v>
      </c>
      <c r="C20" s="55"/>
      <c r="D20" s="55"/>
      <c r="E20" s="55"/>
    </row>
    <row r="21" spans="1:5" ht="16.5" customHeight="1">
      <c r="A21" s="53" t="s">
        <v>10</v>
      </c>
      <c r="B21" s="58">
        <f>B20/25*10/50</f>
        <v>0.17559999999999998</v>
      </c>
      <c r="C21" s="55"/>
      <c r="D21" s="55"/>
      <c r="E21" s="55"/>
    </row>
    <row r="22" spans="1:5" ht="15.75" customHeight="1">
      <c r="A22" s="55"/>
      <c r="B22" s="55" t="s">
        <v>133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22583234</v>
      </c>
      <c r="C24" s="62">
        <v>35865.199999999997</v>
      </c>
      <c r="D24" s="63">
        <v>1.2</v>
      </c>
      <c r="E24" s="64">
        <v>14.2</v>
      </c>
    </row>
    <row r="25" spans="1:5" ht="16.5" customHeight="1">
      <c r="A25" s="61">
        <v>2</v>
      </c>
      <c r="B25" s="62">
        <v>22333687</v>
      </c>
      <c r="C25" s="62">
        <v>35981.800000000003</v>
      </c>
      <c r="D25" s="63">
        <v>1.2</v>
      </c>
      <c r="E25" s="63">
        <v>14.2</v>
      </c>
    </row>
    <row r="26" spans="1:5" ht="16.5" customHeight="1">
      <c r="A26" s="61">
        <v>3</v>
      </c>
      <c r="B26" s="62">
        <v>22162830</v>
      </c>
      <c r="C26" s="62">
        <v>35889.4</v>
      </c>
      <c r="D26" s="63">
        <v>1.2</v>
      </c>
      <c r="E26" s="63">
        <v>14.2</v>
      </c>
    </row>
    <row r="27" spans="1:5" ht="16.5" customHeight="1">
      <c r="A27" s="61">
        <v>4</v>
      </c>
      <c r="B27" s="62">
        <v>21879041</v>
      </c>
      <c r="C27" s="62">
        <v>35949</v>
      </c>
      <c r="D27" s="63">
        <v>1.2</v>
      </c>
      <c r="E27" s="63">
        <v>14.2</v>
      </c>
    </row>
    <row r="28" spans="1:5" ht="16.5" customHeight="1">
      <c r="A28" s="61">
        <v>5</v>
      </c>
      <c r="B28" s="62">
        <v>22217136</v>
      </c>
      <c r="C28" s="62">
        <v>35972.5</v>
      </c>
      <c r="D28" s="63">
        <v>1.2</v>
      </c>
      <c r="E28" s="63">
        <v>14.2</v>
      </c>
    </row>
    <row r="29" spans="1:5" ht="16.5" customHeight="1">
      <c r="A29" s="61">
        <v>6</v>
      </c>
      <c r="B29" s="65">
        <v>22228034</v>
      </c>
      <c r="C29" s="65">
        <v>35966.6</v>
      </c>
      <c r="D29" s="66">
        <v>1.2</v>
      </c>
      <c r="E29" s="66">
        <v>14.2</v>
      </c>
    </row>
    <row r="30" spans="1:5" ht="16.5" customHeight="1">
      <c r="A30" s="67" t="s">
        <v>18</v>
      </c>
      <c r="B30" s="68">
        <f>AVERAGE(B24:B29)</f>
        <v>22233993.666666668</v>
      </c>
      <c r="C30" s="69">
        <f>AVERAGE(C24:C29)</f>
        <v>35937.416666666664</v>
      </c>
      <c r="D30" s="70">
        <f>AVERAGE(D24:D29)</f>
        <v>1.2</v>
      </c>
      <c r="E30" s="70">
        <f>AVERAGE(E24:E29)</f>
        <v>14.200000000000001</v>
      </c>
    </row>
    <row r="31" spans="1:5" ht="16.5" customHeight="1">
      <c r="A31" s="71" t="s">
        <v>19</v>
      </c>
      <c r="B31" s="72">
        <f>(STDEV(B24:B29)/B30)</f>
        <v>1.0320693332486128E-2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134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/>
      <c r="C39" s="55"/>
      <c r="D39" s="55"/>
      <c r="E39" s="55"/>
    </row>
    <row r="40" spans="1:5" ht="16.5" customHeight="1">
      <c r="A40" s="56" t="s">
        <v>6</v>
      </c>
      <c r="B40" s="57"/>
      <c r="C40" s="55"/>
      <c r="D40" s="55"/>
      <c r="E40" s="55"/>
    </row>
    <row r="41" spans="1:5" ht="16.5" customHeight="1">
      <c r="A41" s="53" t="s">
        <v>8</v>
      </c>
      <c r="B41" s="57"/>
      <c r="C41" s="55"/>
      <c r="D41" s="55"/>
      <c r="E41" s="55"/>
    </row>
    <row r="42" spans="1:5" ht="16.5" customHeight="1">
      <c r="A42" s="53" t="s">
        <v>10</v>
      </c>
      <c r="B42" s="58"/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/>
      <c r="C45" s="62"/>
      <c r="D45" s="63"/>
      <c r="E45" s="64"/>
    </row>
    <row r="46" spans="1:5" ht="16.5" customHeight="1">
      <c r="A46" s="61">
        <v>2</v>
      </c>
      <c r="B46" s="62"/>
      <c r="C46" s="62"/>
      <c r="D46" s="63"/>
      <c r="E46" s="63"/>
    </row>
    <row r="47" spans="1:5" ht="16.5" customHeight="1">
      <c r="A47" s="61">
        <v>3</v>
      </c>
      <c r="B47" s="62"/>
      <c r="C47" s="62"/>
      <c r="D47" s="63"/>
      <c r="E47" s="63"/>
    </row>
    <row r="48" spans="1:5" ht="16.5" customHeight="1">
      <c r="A48" s="61">
        <v>4</v>
      </c>
      <c r="B48" s="62"/>
      <c r="C48" s="62"/>
      <c r="D48" s="63"/>
      <c r="E48" s="63"/>
    </row>
    <row r="49" spans="1:7" ht="16.5" customHeight="1">
      <c r="A49" s="61">
        <v>5</v>
      </c>
      <c r="B49" s="62"/>
      <c r="C49" s="62"/>
      <c r="D49" s="63"/>
      <c r="E49" s="63"/>
    </row>
    <row r="50" spans="1:7" ht="16.5" customHeight="1">
      <c r="A50" s="61">
        <v>6</v>
      </c>
      <c r="B50" s="65"/>
      <c r="C50" s="65"/>
      <c r="D50" s="66"/>
      <c r="E50" s="66"/>
    </row>
    <row r="51" spans="1:7" ht="16.5" customHeight="1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77" t="s">
        <v>26</v>
      </c>
      <c r="C59" s="477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5" sqref="A15:G64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131</v>
      </c>
      <c r="D17" s="98"/>
      <c r="E17" s="99"/>
    </row>
    <row r="18" spans="1:6" ht="16.5" customHeight="1">
      <c r="A18" s="100" t="s">
        <v>4</v>
      </c>
      <c r="B18" s="93" t="s">
        <v>135</v>
      </c>
      <c r="C18" s="99"/>
      <c r="D18" s="99"/>
      <c r="E18" s="99"/>
    </row>
    <row r="19" spans="1:6" ht="16.5" customHeight="1">
      <c r="A19" s="100" t="s">
        <v>6</v>
      </c>
      <c r="B19" s="101">
        <v>100.33</v>
      </c>
      <c r="C19" s="99"/>
      <c r="D19" s="99"/>
      <c r="E19" s="99"/>
    </row>
    <row r="20" spans="1:6" ht="16.5" customHeight="1">
      <c r="A20" s="97" t="s">
        <v>8</v>
      </c>
      <c r="B20" s="101">
        <v>21.93</v>
      </c>
      <c r="C20" s="99"/>
      <c r="D20" s="99"/>
      <c r="E20" s="99"/>
    </row>
    <row r="21" spans="1:6" ht="16.5" customHeight="1">
      <c r="A21" s="97" t="s">
        <v>10</v>
      </c>
      <c r="B21" s="102">
        <f>21.93/25*5/50</f>
        <v>8.7720000000000006E-2</v>
      </c>
      <c r="C21" s="99"/>
      <c r="D21" s="99"/>
      <c r="E21" s="99"/>
    </row>
    <row r="22" spans="1:6" ht="15.75" customHeight="1">
      <c r="A22" s="99"/>
      <c r="B22" s="99" t="s">
        <v>133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136</v>
      </c>
    </row>
    <row r="24" spans="1:6" ht="16.5" customHeight="1">
      <c r="A24" s="106">
        <v>1</v>
      </c>
      <c r="B24" s="107">
        <v>10473280</v>
      </c>
      <c r="C24" s="107">
        <v>5393.6</v>
      </c>
      <c r="D24" s="108">
        <v>1.3</v>
      </c>
      <c r="E24" s="109">
        <v>4.2</v>
      </c>
      <c r="F24" s="110"/>
    </row>
    <row r="25" spans="1:6" ht="16.5" customHeight="1">
      <c r="A25" s="106">
        <v>2</v>
      </c>
      <c r="B25" s="107">
        <v>10432415</v>
      </c>
      <c r="C25" s="107">
        <v>5438.9</v>
      </c>
      <c r="D25" s="108">
        <v>1.3</v>
      </c>
      <c r="E25" s="111">
        <v>4.2</v>
      </c>
      <c r="F25" s="110"/>
    </row>
    <row r="26" spans="1:6" ht="16.5" customHeight="1">
      <c r="A26" s="106">
        <v>3</v>
      </c>
      <c r="B26" s="107">
        <v>10377965</v>
      </c>
      <c r="C26" s="107">
        <v>5436.1</v>
      </c>
      <c r="D26" s="108">
        <v>1.3</v>
      </c>
      <c r="E26" s="111">
        <v>4.2</v>
      </c>
      <c r="F26" s="110"/>
    </row>
    <row r="27" spans="1:6" ht="16.5" customHeight="1">
      <c r="A27" s="106">
        <v>4</v>
      </c>
      <c r="B27" s="107">
        <v>10246788</v>
      </c>
      <c r="C27" s="107">
        <v>5503.8</v>
      </c>
      <c r="D27" s="108">
        <v>1.3</v>
      </c>
      <c r="E27" s="111">
        <v>4.2</v>
      </c>
      <c r="F27" s="110"/>
    </row>
    <row r="28" spans="1:6" ht="16.5" customHeight="1">
      <c r="A28" s="106">
        <v>5</v>
      </c>
      <c r="B28" s="107">
        <v>10438403</v>
      </c>
      <c r="C28" s="107">
        <v>5471.2</v>
      </c>
      <c r="D28" s="108">
        <v>1.3</v>
      </c>
      <c r="E28" s="111">
        <v>4.2</v>
      </c>
      <c r="F28" s="110"/>
    </row>
    <row r="29" spans="1:6" ht="16.5" customHeight="1">
      <c r="A29" s="106">
        <v>6</v>
      </c>
      <c r="B29" s="112">
        <v>10401682</v>
      </c>
      <c r="C29" s="112">
        <v>5440.5</v>
      </c>
      <c r="D29" s="113">
        <v>1.3</v>
      </c>
      <c r="E29" s="114">
        <v>4.2</v>
      </c>
      <c r="F29" s="110"/>
    </row>
    <row r="30" spans="1:6" ht="16.5" customHeight="1">
      <c r="A30" s="115" t="s">
        <v>18</v>
      </c>
      <c r="B30" s="116">
        <f>AVERAGE(B24:B29)</f>
        <v>10395088.833333334</v>
      </c>
      <c r="C30" s="117">
        <f>AVERAGE(C24:C29)</f>
        <v>5447.35</v>
      </c>
      <c r="D30" s="118">
        <f>AVERAGE(D24:D29)</f>
        <v>1.3</v>
      </c>
      <c r="E30" s="119">
        <f>AVERAGE(E24:E29)</f>
        <v>4.2</v>
      </c>
      <c r="F30" s="120">
        <v>5.4</v>
      </c>
    </row>
    <row r="31" spans="1:6" ht="16.5" customHeight="1">
      <c r="A31" s="121" t="s">
        <v>19</v>
      </c>
      <c r="B31" s="122">
        <f>(STDEV(B24:B29)/B30)</f>
        <v>7.6613588662763858E-3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22</v>
      </c>
      <c r="C34" s="132"/>
      <c r="D34" s="132"/>
      <c r="E34" s="132"/>
    </row>
    <row r="35" spans="1:5" ht="16.5" customHeight="1">
      <c r="A35" s="100"/>
      <c r="B35" s="131" t="s">
        <v>137</v>
      </c>
      <c r="C35" s="132"/>
      <c r="D35" s="132"/>
      <c r="E35" s="132"/>
    </row>
    <row r="36" spans="1:5" ht="16.5" customHeight="1">
      <c r="A36" s="100"/>
      <c r="B36" s="131" t="s">
        <v>24</v>
      </c>
      <c r="C36" s="132"/>
      <c r="D36" s="132"/>
      <c r="E36" s="132"/>
    </row>
    <row r="37" spans="1:5" ht="15.75" customHeight="1">
      <c r="A37" s="99"/>
      <c r="B37" s="99" t="s">
        <v>138</v>
      </c>
      <c r="C37" s="99"/>
      <c r="D37" s="99"/>
      <c r="E37" s="99"/>
    </row>
    <row r="38" spans="1:5" ht="16.5" customHeight="1">
      <c r="A38" s="95" t="s">
        <v>1</v>
      </c>
      <c r="B38" s="96" t="s">
        <v>25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22</v>
      </c>
      <c r="C55" s="132"/>
      <c r="D55" s="132"/>
      <c r="E55" s="132"/>
    </row>
    <row r="56" spans="1:7" ht="16.5" customHeight="1">
      <c r="A56" s="100"/>
      <c r="B56" s="131" t="s">
        <v>23</v>
      </c>
      <c r="C56" s="132"/>
      <c r="D56" s="132"/>
      <c r="E56" s="132"/>
    </row>
    <row r="57" spans="1:7" ht="16.5" customHeight="1">
      <c r="A57" s="100"/>
      <c r="B57" s="131" t="s">
        <v>24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26</v>
      </c>
      <c r="C59" s="479"/>
      <c r="E59" s="140" t="s">
        <v>27</v>
      </c>
      <c r="F59" s="141"/>
      <c r="G59" s="140" t="s">
        <v>28</v>
      </c>
    </row>
    <row r="60" spans="1:7" ht="15" customHeight="1">
      <c r="A60" s="142" t="s">
        <v>29</v>
      </c>
      <c r="B60" s="143"/>
      <c r="C60" s="143"/>
      <c r="E60" s="143"/>
      <c r="G60" s="143"/>
    </row>
    <row r="61" spans="1:7" ht="15" customHeight="1">
      <c r="A61" s="142" t="s">
        <v>30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1" zoomScaleNormal="40" zoomScalePageLayoutView="41" workbookViewId="0">
      <selection sqref="A1:I132"/>
    </sheetView>
  </sheetViews>
  <sheetFormatPr defaultColWidth="9.140625" defaultRowHeight="13.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139"/>
  </cols>
  <sheetData>
    <row r="1" spans="1:9" ht="18.75" customHeight="1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>
      <c r="A7" s="512"/>
      <c r="B7" s="512"/>
      <c r="C7" s="512"/>
      <c r="D7" s="512"/>
      <c r="E7" s="512"/>
      <c r="F7" s="512"/>
      <c r="G7" s="512"/>
      <c r="H7" s="512"/>
      <c r="I7" s="512"/>
    </row>
    <row r="8" spans="1:9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>
      <c r="A9" s="513"/>
      <c r="B9" s="513"/>
      <c r="C9" s="513"/>
      <c r="D9" s="513"/>
      <c r="E9" s="513"/>
      <c r="F9" s="513"/>
      <c r="G9" s="513"/>
      <c r="H9" s="513"/>
      <c r="I9" s="513"/>
    </row>
    <row r="10" spans="1:9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thickBot="1">
      <c r="A15" s="146"/>
    </row>
    <row r="16" spans="1:9" ht="19.5" customHeight="1" thickBot="1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>
      <c r="A18" s="147" t="s">
        <v>33</v>
      </c>
      <c r="B18" s="518" t="s">
        <v>131</v>
      </c>
      <c r="C18" s="518"/>
      <c r="D18" s="148"/>
      <c r="E18" s="149"/>
      <c r="F18" s="150"/>
      <c r="G18" s="150"/>
      <c r="H18" s="150"/>
    </row>
    <row r="19" spans="1:14" ht="26.25" customHeight="1">
      <c r="A19" s="147" t="s">
        <v>34</v>
      </c>
      <c r="B19" s="474" t="s">
        <v>7</v>
      </c>
      <c r="C19" s="150">
        <v>1</v>
      </c>
      <c r="D19" s="150"/>
      <c r="E19" s="150"/>
      <c r="F19" s="150"/>
      <c r="G19" s="150"/>
      <c r="H19" s="150"/>
    </row>
    <row r="20" spans="1:14" ht="26.25" customHeight="1">
      <c r="A20" s="147" t="s">
        <v>35</v>
      </c>
      <c r="B20" s="519" t="s">
        <v>139</v>
      </c>
      <c r="C20" s="519"/>
      <c r="D20" s="150"/>
      <c r="E20" s="150"/>
      <c r="F20" s="150"/>
      <c r="G20" s="150"/>
      <c r="H20" s="150"/>
    </row>
    <row r="21" spans="1:14" ht="26.25" customHeight="1">
      <c r="A21" s="147" t="s">
        <v>36</v>
      </c>
      <c r="B21" s="519" t="s">
        <v>140</v>
      </c>
      <c r="C21" s="519"/>
      <c r="D21" s="519"/>
      <c r="E21" s="519"/>
      <c r="F21" s="519"/>
      <c r="G21" s="519"/>
      <c r="H21" s="519"/>
      <c r="I21" s="151"/>
    </row>
    <row r="22" spans="1:14" ht="26.25" customHeight="1">
      <c r="A22" s="147" t="s">
        <v>37</v>
      </c>
      <c r="B22" s="152" t="s">
        <v>133</v>
      </c>
      <c r="C22" s="150"/>
      <c r="D22" s="150"/>
      <c r="E22" s="150"/>
      <c r="F22" s="150"/>
      <c r="G22" s="150"/>
      <c r="H22" s="150"/>
    </row>
    <row r="23" spans="1:14" ht="26.25" customHeight="1">
      <c r="A23" s="147" t="s">
        <v>38</v>
      </c>
      <c r="B23" s="152"/>
      <c r="C23" s="150"/>
      <c r="D23" s="150"/>
      <c r="E23" s="150"/>
      <c r="F23" s="150"/>
      <c r="G23" s="150"/>
      <c r="H23" s="150"/>
    </row>
    <row r="24" spans="1:14" ht="18.75">
      <c r="A24" s="147"/>
      <c r="B24" s="153"/>
    </row>
    <row r="25" spans="1:14" ht="18.75">
      <c r="A25" s="154" t="s">
        <v>1</v>
      </c>
      <c r="B25" s="153"/>
    </row>
    <row r="26" spans="1:14" ht="26.25" customHeight="1">
      <c r="A26" s="155" t="s">
        <v>4</v>
      </c>
      <c r="B26" s="518" t="s">
        <v>132</v>
      </c>
      <c r="C26" s="518"/>
    </row>
    <row r="27" spans="1:14" ht="26.25" customHeight="1">
      <c r="A27" s="156" t="s">
        <v>48</v>
      </c>
      <c r="B27" s="520" t="s">
        <v>141</v>
      </c>
      <c r="C27" s="520"/>
    </row>
    <row r="28" spans="1:14" ht="27" customHeight="1" thickBot="1">
      <c r="A28" s="156" t="s">
        <v>6</v>
      </c>
      <c r="B28" s="157">
        <v>96.03</v>
      </c>
    </row>
    <row r="29" spans="1:14" s="103" customFormat="1" ht="27" customHeight="1" thickBot="1">
      <c r="A29" s="156" t="s">
        <v>49</v>
      </c>
      <c r="B29" s="158">
        <v>0</v>
      </c>
      <c r="C29" s="492" t="s">
        <v>50</v>
      </c>
      <c r="D29" s="493"/>
      <c r="E29" s="493"/>
      <c r="F29" s="493"/>
      <c r="G29" s="494"/>
      <c r="I29" s="159"/>
      <c r="J29" s="159"/>
      <c r="K29" s="159"/>
      <c r="L29" s="159"/>
    </row>
    <row r="30" spans="1:14" s="103" customFormat="1" ht="19.5" customHeight="1" thickBot="1">
      <c r="A30" s="156" t="s">
        <v>51</v>
      </c>
      <c r="B30" s="160">
        <f>B28-B29</f>
        <v>96.03</v>
      </c>
      <c r="C30" s="161"/>
      <c r="D30" s="161"/>
      <c r="E30" s="161"/>
      <c r="F30" s="161"/>
      <c r="G30" s="162"/>
      <c r="I30" s="159"/>
      <c r="J30" s="159"/>
      <c r="K30" s="159"/>
      <c r="L30" s="159"/>
    </row>
    <row r="31" spans="1:14" s="103" customFormat="1" ht="27" customHeight="1" thickBot="1">
      <c r="A31" s="156" t="s">
        <v>52</v>
      </c>
      <c r="B31" s="163">
        <v>1</v>
      </c>
      <c r="C31" s="495" t="s">
        <v>53</v>
      </c>
      <c r="D31" s="496"/>
      <c r="E31" s="496"/>
      <c r="F31" s="496"/>
      <c r="G31" s="496"/>
      <c r="H31" s="497"/>
      <c r="I31" s="159"/>
      <c r="J31" s="159"/>
      <c r="K31" s="159"/>
      <c r="L31" s="159"/>
    </row>
    <row r="32" spans="1:14" s="103" customFormat="1" ht="27" customHeight="1" thickBot="1">
      <c r="A32" s="156" t="s">
        <v>54</v>
      </c>
      <c r="B32" s="163">
        <v>1</v>
      </c>
      <c r="C32" s="495" t="s">
        <v>55</v>
      </c>
      <c r="D32" s="496"/>
      <c r="E32" s="496"/>
      <c r="F32" s="496"/>
      <c r="G32" s="496"/>
      <c r="H32" s="497"/>
      <c r="I32" s="159"/>
      <c r="J32" s="159"/>
      <c r="K32" s="159"/>
      <c r="L32" s="164"/>
      <c r="M32" s="164"/>
      <c r="N32" s="165"/>
    </row>
    <row r="33" spans="1:14" s="103" customFormat="1" ht="17.25" customHeight="1">
      <c r="A33" s="156"/>
      <c r="B33" s="166"/>
      <c r="C33" s="167"/>
      <c r="D33" s="167"/>
      <c r="E33" s="167"/>
      <c r="F33" s="167"/>
      <c r="G33" s="167"/>
      <c r="H33" s="167"/>
      <c r="I33" s="159"/>
      <c r="J33" s="159"/>
      <c r="K33" s="159"/>
      <c r="L33" s="164"/>
      <c r="M33" s="164"/>
      <c r="N33" s="165"/>
    </row>
    <row r="34" spans="1:14" s="103" customFormat="1" ht="18.75">
      <c r="A34" s="156" t="s">
        <v>56</v>
      </c>
      <c r="B34" s="168">
        <f>B31/B32</f>
        <v>1</v>
      </c>
      <c r="C34" s="146" t="s">
        <v>57</v>
      </c>
      <c r="D34" s="146"/>
      <c r="E34" s="146"/>
      <c r="F34" s="146"/>
      <c r="G34" s="146"/>
      <c r="I34" s="159"/>
      <c r="J34" s="159"/>
      <c r="K34" s="159"/>
      <c r="L34" s="164"/>
      <c r="M34" s="164"/>
      <c r="N34" s="165"/>
    </row>
    <row r="35" spans="1:14" s="103" customFormat="1" ht="19.5" customHeight="1" thickBot="1">
      <c r="A35" s="156"/>
      <c r="B35" s="160"/>
      <c r="G35" s="146"/>
      <c r="I35" s="159"/>
      <c r="J35" s="159"/>
      <c r="K35" s="159"/>
      <c r="L35" s="164"/>
      <c r="M35" s="164"/>
      <c r="N35" s="165"/>
    </row>
    <row r="36" spans="1:14" s="103" customFormat="1" ht="27" customHeight="1" thickBot="1">
      <c r="A36" s="169" t="s">
        <v>58</v>
      </c>
      <c r="B36" s="170">
        <v>25</v>
      </c>
      <c r="C36" s="146"/>
      <c r="D36" s="498" t="s">
        <v>59</v>
      </c>
      <c r="E36" s="500"/>
      <c r="F36" s="498" t="s">
        <v>60</v>
      </c>
      <c r="G36" s="499"/>
      <c r="J36" s="159"/>
      <c r="K36" s="159"/>
      <c r="L36" s="164"/>
      <c r="M36" s="164"/>
      <c r="N36" s="165"/>
    </row>
    <row r="37" spans="1:14" s="103" customFormat="1" ht="27" customHeight="1" thickBot="1">
      <c r="A37" s="171" t="s">
        <v>61</v>
      </c>
      <c r="B37" s="172">
        <v>10</v>
      </c>
      <c r="C37" s="173" t="s">
        <v>62</v>
      </c>
      <c r="D37" s="174" t="s">
        <v>63</v>
      </c>
      <c r="E37" s="175" t="s">
        <v>64</v>
      </c>
      <c r="F37" s="174" t="s">
        <v>63</v>
      </c>
      <c r="G37" s="176" t="s">
        <v>64</v>
      </c>
      <c r="I37" s="177" t="s">
        <v>65</v>
      </c>
      <c r="J37" s="159"/>
      <c r="K37" s="159"/>
      <c r="L37" s="164"/>
      <c r="M37" s="164"/>
      <c r="N37" s="165"/>
    </row>
    <row r="38" spans="1:14" s="103" customFormat="1" ht="26.25" customHeight="1">
      <c r="A38" s="171" t="s">
        <v>66</v>
      </c>
      <c r="B38" s="172">
        <v>50</v>
      </c>
      <c r="C38" s="178">
        <v>1</v>
      </c>
      <c r="D38" s="179">
        <v>22244725</v>
      </c>
      <c r="E38" s="180">
        <f>IF(ISBLANK(D38),"-",$D$48/$D$45*D38)</f>
        <v>24460770.51994817</v>
      </c>
      <c r="F38" s="179">
        <v>19879676</v>
      </c>
      <c r="G38" s="181">
        <f>IF(ISBLANK(F38),"-",$D$48/$F$45*F38)</f>
        <v>24311833.947467845</v>
      </c>
      <c r="I38" s="182"/>
      <c r="J38" s="159"/>
      <c r="K38" s="159"/>
      <c r="L38" s="164"/>
      <c r="M38" s="164"/>
      <c r="N38" s="165"/>
    </row>
    <row r="39" spans="1:14" s="103" customFormat="1" ht="26.25" customHeight="1">
      <c r="A39" s="171" t="s">
        <v>67</v>
      </c>
      <c r="B39" s="172">
        <v>1</v>
      </c>
      <c r="C39" s="183">
        <v>2</v>
      </c>
      <c r="D39" s="184">
        <v>22150418</v>
      </c>
      <c r="E39" s="185">
        <f>IF(ISBLANK(D39),"-",$D$48/$D$45*D39)</f>
        <v>24357068.546315107</v>
      </c>
      <c r="F39" s="184">
        <v>20006470</v>
      </c>
      <c r="G39" s="186">
        <f>IF(ISBLANK(F39),"-",$D$48/$F$45*F39)</f>
        <v>24466896.568887595</v>
      </c>
      <c r="I39" s="480">
        <f>ABS((F43/D43*D42)-F42)/D42</f>
        <v>8.02334080318968E-3</v>
      </c>
      <c r="J39" s="159"/>
      <c r="K39" s="159"/>
      <c r="L39" s="164"/>
      <c r="M39" s="164"/>
      <c r="N39" s="165"/>
    </row>
    <row r="40" spans="1:14" ht="26.25" customHeight="1">
      <c r="A40" s="171" t="s">
        <v>68</v>
      </c>
      <c r="B40" s="172">
        <v>1</v>
      </c>
      <c r="C40" s="183">
        <v>3</v>
      </c>
      <c r="D40" s="184">
        <v>21811517</v>
      </c>
      <c r="E40" s="185">
        <f>IF(ISBLANK(D40),"-",$D$48/$D$45*D40)</f>
        <v>23984405.832346696</v>
      </c>
      <c r="F40" s="184">
        <v>20175117</v>
      </c>
      <c r="G40" s="186">
        <f>IF(ISBLANK(F40),"-",$D$48/$F$45*F40)</f>
        <v>24673143.283358123</v>
      </c>
      <c r="I40" s="480"/>
      <c r="L40" s="164"/>
      <c r="M40" s="164"/>
      <c r="N40" s="146"/>
    </row>
    <row r="41" spans="1:14" ht="27" customHeight="1" thickBot="1">
      <c r="A41" s="171" t="s">
        <v>69</v>
      </c>
      <c r="B41" s="172">
        <v>1</v>
      </c>
      <c r="C41" s="187">
        <v>4</v>
      </c>
      <c r="D41" s="188"/>
      <c r="E41" s="189" t="str">
        <f>IF(ISBLANK(D41),"-",$D$48/$D$45*D41)</f>
        <v>-</v>
      </c>
      <c r="F41" s="188"/>
      <c r="G41" s="190" t="str">
        <f>IF(ISBLANK(F41),"-",$D$48/$F$45*F41)</f>
        <v>-</v>
      </c>
      <c r="I41" s="191"/>
      <c r="L41" s="164"/>
      <c r="M41" s="164"/>
      <c r="N41" s="146"/>
    </row>
    <row r="42" spans="1:14" ht="27" customHeight="1" thickBot="1">
      <c r="A42" s="171" t="s">
        <v>70</v>
      </c>
      <c r="B42" s="172">
        <v>1</v>
      </c>
      <c r="C42" s="192" t="s">
        <v>71</v>
      </c>
      <c r="D42" s="193">
        <f>AVERAGE(D38:D41)</f>
        <v>22068886.666666668</v>
      </c>
      <c r="E42" s="194">
        <f>AVERAGE(E38:E41)</f>
        <v>24267414.966203321</v>
      </c>
      <c r="F42" s="193">
        <f>AVERAGE(F38:F41)</f>
        <v>20020421</v>
      </c>
      <c r="G42" s="195">
        <f>AVERAGE(G38:G41)</f>
        <v>24483957.933237854</v>
      </c>
      <c r="H42" s="137"/>
    </row>
    <row r="43" spans="1:14" ht="26.25" customHeight="1">
      <c r="A43" s="171" t="s">
        <v>72</v>
      </c>
      <c r="B43" s="172">
        <v>1</v>
      </c>
      <c r="C43" s="196" t="s">
        <v>73</v>
      </c>
      <c r="D43" s="197">
        <v>18.940000000000001</v>
      </c>
      <c r="E43" s="146"/>
      <c r="F43" s="197">
        <v>17.03</v>
      </c>
      <c r="H43" s="137"/>
    </row>
    <row r="44" spans="1:14" ht="26.25" customHeight="1">
      <c r="A44" s="171" t="s">
        <v>74</v>
      </c>
      <c r="B44" s="172">
        <v>1</v>
      </c>
      <c r="C44" s="198" t="s">
        <v>75</v>
      </c>
      <c r="D44" s="199">
        <f>D43*$B$34</f>
        <v>18.940000000000001</v>
      </c>
      <c r="E44" s="200"/>
      <c r="F44" s="199">
        <f>F43*$B$34</f>
        <v>17.03</v>
      </c>
      <c r="H44" s="137"/>
    </row>
    <row r="45" spans="1:14" ht="19.5" customHeight="1" thickBot="1">
      <c r="A45" s="171" t="s">
        <v>76</v>
      </c>
      <c r="B45" s="183">
        <f>(B44/B43)*(B42/B41)*(B40/B39)*(B38/B37)*B36</f>
        <v>125</v>
      </c>
      <c r="C45" s="198" t="s">
        <v>77</v>
      </c>
      <c r="D45" s="201">
        <f>D44*$B$30/100</f>
        <v>18.188082000000001</v>
      </c>
      <c r="E45" s="202"/>
      <c r="F45" s="201">
        <f>F44*$B$30/100</f>
        <v>16.353909000000002</v>
      </c>
      <c r="H45" s="137"/>
    </row>
    <row r="46" spans="1:14" ht="19.5" customHeight="1" thickBot="1">
      <c r="A46" s="481" t="s">
        <v>78</v>
      </c>
      <c r="B46" s="485"/>
      <c r="C46" s="198" t="s">
        <v>79</v>
      </c>
      <c r="D46" s="203">
        <f>D45/$B$45</f>
        <v>0.14550465600000001</v>
      </c>
      <c r="E46" s="204"/>
      <c r="F46" s="205">
        <f>F45/$B$45</f>
        <v>0.13083127200000003</v>
      </c>
      <c r="H46" s="137"/>
    </row>
    <row r="47" spans="1:14" ht="27" customHeight="1" thickBot="1">
      <c r="A47" s="483"/>
      <c r="B47" s="486"/>
      <c r="C47" s="206" t="s">
        <v>80</v>
      </c>
      <c r="D47" s="207">
        <v>0.16</v>
      </c>
      <c r="E47" s="208"/>
      <c r="F47" s="204"/>
      <c r="H47" s="137"/>
    </row>
    <row r="48" spans="1:14" ht="18.75">
      <c r="C48" s="209" t="s">
        <v>81</v>
      </c>
      <c r="D48" s="201">
        <f>D47*$B$45</f>
        <v>20</v>
      </c>
      <c r="F48" s="210"/>
      <c r="H48" s="137"/>
    </row>
    <row r="49" spans="1:12" ht="19.5" customHeight="1" thickBot="1">
      <c r="C49" s="211" t="s">
        <v>82</v>
      </c>
      <c r="D49" s="212">
        <f>D48/B34</f>
        <v>20</v>
      </c>
      <c r="F49" s="210"/>
      <c r="H49" s="137"/>
    </row>
    <row r="50" spans="1:12" ht="18.75">
      <c r="C50" s="169" t="s">
        <v>83</v>
      </c>
      <c r="D50" s="213">
        <f>AVERAGE(E38:E41,G38:G41)</f>
        <v>24375686.449720588</v>
      </c>
      <c r="F50" s="214"/>
      <c r="H50" s="137"/>
    </row>
    <row r="51" spans="1:12" ht="18.75">
      <c r="C51" s="171" t="s">
        <v>84</v>
      </c>
      <c r="D51" s="215">
        <f>STDEV(E38:E41,G38:G41)/D50</f>
        <v>9.3831069264054597E-3</v>
      </c>
      <c r="F51" s="214"/>
      <c r="H51" s="137"/>
    </row>
    <row r="52" spans="1:12" ht="19.5" customHeight="1" thickBot="1">
      <c r="C52" s="216" t="s">
        <v>20</v>
      </c>
      <c r="D52" s="217">
        <f>COUNT(E38:E41,G38:G41)</f>
        <v>6</v>
      </c>
      <c r="F52" s="214"/>
    </row>
    <row r="54" spans="1:12" ht="18.75">
      <c r="A54" s="218" t="s">
        <v>1</v>
      </c>
      <c r="B54" s="219" t="s">
        <v>85</v>
      </c>
    </row>
    <row r="55" spans="1:12" ht="18.75">
      <c r="A55" s="146" t="s">
        <v>86</v>
      </c>
      <c r="B55" s="220" t="str">
        <f>B21</f>
        <v>Each  dispersible tablet contains: Rifampicin BP 75 mg and Isoniazid BP 50 mg.</v>
      </c>
    </row>
    <row r="56" spans="1:12" ht="26.25" customHeight="1">
      <c r="A56" s="220" t="s">
        <v>87</v>
      </c>
      <c r="B56" s="221">
        <v>75</v>
      </c>
      <c r="C56" s="146" t="str">
        <f>B20</f>
        <v xml:space="preserve">RIFAMPICIN 75 mg </v>
      </c>
      <c r="H56" s="200"/>
    </row>
    <row r="57" spans="1:12" ht="18.75">
      <c r="A57" s="220" t="s">
        <v>88</v>
      </c>
      <c r="B57" s="222">
        <f>Uniformity!C46</f>
        <v>481.69849999999997</v>
      </c>
      <c r="H57" s="200"/>
    </row>
    <row r="58" spans="1:12" ht="19.5" customHeight="1" thickBot="1">
      <c r="H58" s="200"/>
    </row>
    <row r="59" spans="1:12" s="103" customFormat="1" ht="27" customHeight="1" thickBot="1">
      <c r="A59" s="169" t="s">
        <v>89</v>
      </c>
      <c r="B59" s="170">
        <v>50</v>
      </c>
      <c r="C59" s="146"/>
      <c r="D59" s="223" t="s">
        <v>90</v>
      </c>
      <c r="E59" s="224" t="s">
        <v>62</v>
      </c>
      <c r="F59" s="224" t="s">
        <v>63</v>
      </c>
      <c r="G59" s="224" t="s">
        <v>91</v>
      </c>
      <c r="H59" s="173" t="s">
        <v>92</v>
      </c>
      <c r="L59" s="159"/>
    </row>
    <row r="60" spans="1:12" s="103" customFormat="1" ht="26.25" customHeight="1">
      <c r="A60" s="171" t="s">
        <v>93</v>
      </c>
      <c r="B60" s="172">
        <v>4</v>
      </c>
      <c r="C60" s="501" t="s">
        <v>94</v>
      </c>
      <c r="D60" s="504">
        <v>244.93</v>
      </c>
      <c r="E60" s="225">
        <v>1</v>
      </c>
      <c r="F60" s="226">
        <v>24626542</v>
      </c>
      <c r="G60" s="227">
        <f>IF(ISBLANK(F60),"-",(F60/$D$50*$D$47*$B$68)*($B$57/$D$60))</f>
        <v>79.476710113917292</v>
      </c>
      <c r="H60" s="228">
        <f t="shared" ref="H60:H71" si="0">IF(ISBLANK(F60),"-",(G60/$B$56)*100)</f>
        <v>105.9689468185564</v>
      </c>
      <c r="L60" s="159"/>
    </row>
    <row r="61" spans="1:12" s="103" customFormat="1" ht="26.25" customHeight="1">
      <c r="A61" s="171" t="s">
        <v>95</v>
      </c>
      <c r="B61" s="172">
        <v>20</v>
      </c>
      <c r="C61" s="502"/>
      <c r="D61" s="505"/>
      <c r="E61" s="229">
        <v>2</v>
      </c>
      <c r="F61" s="184">
        <v>24797576</v>
      </c>
      <c r="G61" s="230">
        <f>IF(ISBLANK(F61),"-",(F61/$D$50*$D$47*$B$68)*($B$57/$D$60))</f>
        <v>80.028684468969828</v>
      </c>
      <c r="H61" s="231">
        <f t="shared" si="0"/>
        <v>106.70491262529312</v>
      </c>
      <c r="L61" s="159"/>
    </row>
    <row r="62" spans="1:12" s="103" customFormat="1" ht="26.25" customHeight="1">
      <c r="A62" s="171" t="s">
        <v>96</v>
      </c>
      <c r="B62" s="172">
        <v>1</v>
      </c>
      <c r="C62" s="502"/>
      <c r="D62" s="505"/>
      <c r="E62" s="229">
        <v>3</v>
      </c>
      <c r="F62" s="232">
        <v>24943832</v>
      </c>
      <c r="G62" s="230">
        <f>IF(ISBLANK(F62),"-",(F62/$D$50*$D$47*$B$68)*($B$57/$D$60))</f>
        <v>80.500693316757761</v>
      </c>
      <c r="H62" s="231">
        <f t="shared" si="0"/>
        <v>107.33425775567702</v>
      </c>
      <c r="L62" s="159"/>
    </row>
    <row r="63" spans="1:12" ht="27" customHeight="1" thickBot="1">
      <c r="A63" s="171" t="s">
        <v>97</v>
      </c>
      <c r="B63" s="172">
        <v>1</v>
      </c>
      <c r="C63" s="503"/>
      <c r="D63" s="506"/>
      <c r="E63" s="233">
        <v>4</v>
      </c>
      <c r="F63" s="234"/>
      <c r="G63" s="230" t="str">
        <f>IF(ISBLANK(F63),"-",(F63/$D$50*$D$47*$B$68)*($B$57/$D$60))</f>
        <v>-</v>
      </c>
      <c r="H63" s="231" t="str">
        <f t="shared" si="0"/>
        <v>-</v>
      </c>
    </row>
    <row r="64" spans="1:12" ht="26.25" customHeight="1">
      <c r="A64" s="171" t="s">
        <v>98</v>
      </c>
      <c r="B64" s="172">
        <v>1</v>
      </c>
      <c r="C64" s="501" t="s">
        <v>99</v>
      </c>
      <c r="D64" s="504">
        <v>236.85</v>
      </c>
      <c r="E64" s="225">
        <v>1</v>
      </c>
      <c r="F64" s="226">
        <v>24637596</v>
      </c>
      <c r="G64" s="227">
        <f>IF(ISBLANK(F64),"-",(F64/$D$50*$D$47*$B$68)*($B$57/$D$64))</f>
        <v>82.22490320251174</v>
      </c>
      <c r="H64" s="228">
        <f t="shared" si="0"/>
        <v>109.63320427001565</v>
      </c>
    </row>
    <row r="65" spans="1:8" ht="26.25" customHeight="1">
      <c r="A65" s="171" t="s">
        <v>100</v>
      </c>
      <c r="B65" s="172">
        <v>1</v>
      </c>
      <c r="C65" s="502"/>
      <c r="D65" s="505"/>
      <c r="E65" s="229">
        <v>2</v>
      </c>
      <c r="F65" s="184">
        <v>24895457</v>
      </c>
      <c r="G65" s="230">
        <f>IF(ISBLANK(F65),"-",(F65/$D$50*$D$47*$B$68)*($B$57/$D$64))</f>
        <v>83.085482122821318</v>
      </c>
      <c r="H65" s="231">
        <f t="shared" si="0"/>
        <v>110.78064283042843</v>
      </c>
    </row>
    <row r="66" spans="1:8" ht="26.25" customHeight="1">
      <c r="A66" s="171" t="s">
        <v>101</v>
      </c>
      <c r="B66" s="172">
        <v>1</v>
      </c>
      <c r="C66" s="502"/>
      <c r="D66" s="505"/>
      <c r="E66" s="229">
        <v>3</v>
      </c>
      <c r="F66" s="184">
        <v>24511658</v>
      </c>
      <c r="G66" s="230">
        <f>IF(ISBLANK(F66),"-",(F66/$D$50*$D$47*$B$68)*($B$57/$D$64))</f>
        <v>81.804600837803847</v>
      </c>
      <c r="H66" s="231">
        <f t="shared" si="0"/>
        <v>109.0728011170718</v>
      </c>
    </row>
    <row r="67" spans="1:8" ht="27" customHeight="1" thickBot="1">
      <c r="A67" s="171" t="s">
        <v>102</v>
      </c>
      <c r="B67" s="172">
        <v>1</v>
      </c>
      <c r="C67" s="503"/>
      <c r="D67" s="506"/>
      <c r="E67" s="233">
        <v>4</v>
      </c>
      <c r="F67" s="234"/>
      <c r="G67" s="235" t="str">
        <f>IF(ISBLANK(F67),"-",(F67/$D$50*$D$47*$B$68)*($B$57/$D$64))</f>
        <v>-</v>
      </c>
      <c r="H67" s="236" t="str">
        <f t="shared" si="0"/>
        <v>-</v>
      </c>
    </row>
    <row r="68" spans="1:8" ht="26.25" customHeight="1">
      <c r="A68" s="171" t="s">
        <v>103</v>
      </c>
      <c r="B68" s="237">
        <f>(B67/B66)*(B65/B64)*(B63/B62)*(B61/B60)*B59</f>
        <v>250</v>
      </c>
      <c r="C68" s="501" t="s">
        <v>104</v>
      </c>
      <c r="D68" s="504">
        <v>242.7</v>
      </c>
      <c r="E68" s="225">
        <v>1</v>
      </c>
      <c r="F68" s="226">
        <v>25247024</v>
      </c>
      <c r="G68" s="227">
        <f>IF(ISBLANK(F68),"-",(F68/$D$50*$D$47*$B$68)*($B$57/$D$68))</f>
        <v>82.227833343728989</v>
      </c>
      <c r="H68" s="231">
        <f t="shared" si="0"/>
        <v>109.63711112497198</v>
      </c>
    </row>
    <row r="69" spans="1:8" ht="27" customHeight="1" thickBot="1">
      <c r="A69" s="216" t="s">
        <v>105</v>
      </c>
      <c r="B69" s="238">
        <f>(D47*B68)/B56*B57</f>
        <v>256.90586666666667</v>
      </c>
      <c r="C69" s="502"/>
      <c r="D69" s="505"/>
      <c r="E69" s="229">
        <v>2</v>
      </c>
      <c r="F69" s="184">
        <v>25226605</v>
      </c>
      <c r="G69" s="230">
        <f>IF(ISBLANK(F69),"-",(F69/$D$50*$D$47*$B$68)*($B$57/$D$68))</f>
        <v>82.161330054903914</v>
      </c>
      <c r="H69" s="231">
        <f t="shared" si="0"/>
        <v>109.54844007320521</v>
      </c>
    </row>
    <row r="70" spans="1:8" ht="26.25" customHeight="1">
      <c r="A70" s="508" t="s">
        <v>78</v>
      </c>
      <c r="B70" s="509"/>
      <c r="C70" s="502"/>
      <c r="D70" s="505"/>
      <c r="E70" s="229">
        <v>3</v>
      </c>
      <c r="F70" s="184">
        <v>25451509</v>
      </c>
      <c r="G70" s="230">
        <f>IF(ISBLANK(F70),"-",(F70/$D$50*$D$47*$B$68)*($B$57/$D$68))</f>
        <v>82.893827026837641</v>
      </c>
      <c r="H70" s="231">
        <f t="shared" si="0"/>
        <v>110.5251027024502</v>
      </c>
    </row>
    <row r="71" spans="1:8" ht="27" customHeight="1" thickBot="1">
      <c r="A71" s="510"/>
      <c r="B71" s="511"/>
      <c r="C71" s="507"/>
      <c r="D71" s="506"/>
      <c r="E71" s="233">
        <v>4</v>
      </c>
      <c r="F71" s="234"/>
      <c r="G71" s="235" t="str">
        <f>IF(ISBLANK(F71),"-",(F71/$D$50*$D$47*$B$68)*($B$57/$D$68))</f>
        <v>-</v>
      </c>
      <c r="H71" s="236" t="str">
        <f t="shared" si="0"/>
        <v>-</v>
      </c>
    </row>
    <row r="72" spans="1:8" ht="26.25" customHeight="1">
      <c r="A72" s="200"/>
      <c r="B72" s="200"/>
      <c r="C72" s="200"/>
      <c r="D72" s="200"/>
      <c r="E72" s="200"/>
      <c r="F72" s="239" t="s">
        <v>71</v>
      </c>
      <c r="G72" s="240">
        <f>AVERAGE(G60:G71)</f>
        <v>81.600451609805816</v>
      </c>
      <c r="H72" s="241">
        <f>AVERAGE(H60:H71)</f>
        <v>108.80060214640775</v>
      </c>
    </row>
    <row r="73" spans="1:8" ht="26.25" customHeight="1">
      <c r="C73" s="200"/>
      <c r="D73" s="200"/>
      <c r="E73" s="200"/>
      <c r="F73" s="242" t="s">
        <v>84</v>
      </c>
      <c r="G73" s="243">
        <f>STDEV(G60:G71)/G72</f>
        <v>1.5746474148545964E-2</v>
      </c>
      <c r="H73" s="244">
        <f>STDEV(H60:H71)/H72</f>
        <v>1.5746474148543792E-2</v>
      </c>
    </row>
    <row r="74" spans="1:8" ht="27" customHeight="1" thickBot="1">
      <c r="A74" s="200"/>
      <c r="B74" s="200"/>
      <c r="C74" s="200"/>
      <c r="D74" s="200"/>
      <c r="E74" s="202"/>
      <c r="F74" s="245" t="s">
        <v>20</v>
      </c>
      <c r="G74" s="246">
        <f>COUNT(G60:G71)</f>
        <v>9</v>
      </c>
      <c r="H74" s="246">
        <f>COUNT(H60:H71)</f>
        <v>9</v>
      </c>
    </row>
    <row r="76" spans="1:8" ht="26.25" customHeight="1">
      <c r="A76" s="155" t="s">
        <v>106</v>
      </c>
      <c r="B76" s="156" t="s">
        <v>107</v>
      </c>
      <c r="C76" s="489" t="str">
        <f>B26</f>
        <v>RIFAMPICIN</v>
      </c>
      <c r="D76" s="489"/>
      <c r="E76" s="146" t="s">
        <v>108</v>
      </c>
      <c r="F76" s="146"/>
      <c r="G76" s="247">
        <f>H72</f>
        <v>108.80060214640775</v>
      </c>
      <c r="H76" s="160"/>
    </row>
    <row r="77" spans="1:8" ht="18.75">
      <c r="A77" s="154" t="s">
        <v>109</v>
      </c>
      <c r="B77" s="154" t="s">
        <v>110</v>
      </c>
    </row>
    <row r="78" spans="1:8" ht="18.75">
      <c r="A78" s="154"/>
      <c r="B78" s="154"/>
    </row>
    <row r="79" spans="1:8" ht="26.25" customHeight="1">
      <c r="A79" s="155" t="s">
        <v>4</v>
      </c>
      <c r="B79" s="491"/>
      <c r="C79" s="491"/>
    </row>
    <row r="80" spans="1:8" ht="26.25" customHeight="1">
      <c r="A80" s="156" t="s">
        <v>48</v>
      </c>
      <c r="B80" s="491"/>
      <c r="C80" s="491"/>
    </row>
    <row r="81" spans="1:12" ht="27" customHeight="1" thickBot="1">
      <c r="A81" s="156" t="s">
        <v>6</v>
      </c>
      <c r="B81" s="157"/>
    </row>
    <row r="82" spans="1:12" s="103" customFormat="1" ht="27" customHeight="1" thickBot="1">
      <c r="A82" s="156" t="s">
        <v>49</v>
      </c>
      <c r="B82" s="158">
        <v>0</v>
      </c>
      <c r="C82" s="492" t="s">
        <v>50</v>
      </c>
      <c r="D82" s="493"/>
      <c r="E82" s="493"/>
      <c r="F82" s="493"/>
      <c r="G82" s="494"/>
      <c r="I82" s="159"/>
      <c r="J82" s="159"/>
      <c r="K82" s="159"/>
      <c r="L82" s="159"/>
    </row>
    <row r="83" spans="1:12" s="103" customFormat="1" ht="19.5" customHeight="1" thickBot="1">
      <c r="A83" s="156" t="s">
        <v>51</v>
      </c>
      <c r="B83" s="160">
        <f>B81-B82</f>
        <v>0</v>
      </c>
      <c r="C83" s="161"/>
      <c r="D83" s="161"/>
      <c r="E83" s="161"/>
      <c r="F83" s="161"/>
      <c r="G83" s="162"/>
      <c r="I83" s="159"/>
      <c r="J83" s="159"/>
      <c r="K83" s="159"/>
      <c r="L83" s="159"/>
    </row>
    <row r="84" spans="1:12" s="103" customFormat="1" ht="27" customHeight="1" thickBot="1">
      <c r="A84" s="156" t="s">
        <v>52</v>
      </c>
      <c r="B84" s="163"/>
      <c r="C84" s="495" t="s">
        <v>111</v>
      </c>
      <c r="D84" s="496"/>
      <c r="E84" s="496"/>
      <c r="F84" s="496"/>
      <c r="G84" s="496"/>
      <c r="H84" s="497"/>
      <c r="I84" s="159"/>
      <c r="J84" s="159"/>
      <c r="K84" s="159"/>
      <c r="L84" s="159"/>
    </row>
    <row r="85" spans="1:12" s="103" customFormat="1" ht="27" customHeight="1" thickBot="1">
      <c r="A85" s="156" t="s">
        <v>54</v>
      </c>
      <c r="B85" s="163"/>
      <c r="C85" s="495" t="s">
        <v>112</v>
      </c>
      <c r="D85" s="496"/>
      <c r="E85" s="496"/>
      <c r="F85" s="496"/>
      <c r="G85" s="496"/>
      <c r="H85" s="497"/>
      <c r="I85" s="159"/>
      <c r="J85" s="159"/>
      <c r="K85" s="159"/>
      <c r="L85" s="159"/>
    </row>
    <row r="86" spans="1:12" s="103" customFormat="1" ht="18.75">
      <c r="A86" s="156"/>
      <c r="B86" s="166"/>
      <c r="C86" s="167"/>
      <c r="D86" s="167"/>
      <c r="E86" s="167"/>
      <c r="F86" s="167"/>
      <c r="G86" s="167"/>
      <c r="H86" s="167"/>
      <c r="I86" s="159"/>
      <c r="J86" s="159"/>
      <c r="K86" s="159"/>
      <c r="L86" s="159"/>
    </row>
    <row r="87" spans="1:12" s="103" customFormat="1" ht="18.75">
      <c r="A87" s="156" t="s">
        <v>56</v>
      </c>
      <c r="B87" s="168" t="e">
        <f>B84/B85</f>
        <v>#DIV/0!</v>
      </c>
      <c r="C87" s="146" t="s">
        <v>57</v>
      </c>
      <c r="D87" s="146"/>
      <c r="E87" s="146"/>
      <c r="F87" s="146"/>
      <c r="G87" s="146"/>
      <c r="I87" s="159"/>
      <c r="J87" s="159"/>
      <c r="K87" s="159"/>
      <c r="L87" s="159"/>
    </row>
    <row r="88" spans="1:12" ht="19.5" customHeight="1" thickBot="1">
      <c r="A88" s="154"/>
      <c r="B88" s="154"/>
    </row>
    <row r="89" spans="1:12" ht="27" customHeight="1" thickBot="1">
      <c r="A89" s="169" t="s">
        <v>58</v>
      </c>
      <c r="B89" s="170"/>
      <c r="D89" s="248" t="s">
        <v>59</v>
      </c>
      <c r="E89" s="249"/>
      <c r="F89" s="498" t="s">
        <v>60</v>
      </c>
      <c r="G89" s="499"/>
    </row>
    <row r="90" spans="1:12" ht="27" customHeight="1" thickBot="1">
      <c r="A90" s="171" t="s">
        <v>61</v>
      </c>
      <c r="B90" s="172"/>
      <c r="C90" s="250" t="s">
        <v>62</v>
      </c>
      <c r="D90" s="174" t="s">
        <v>63</v>
      </c>
      <c r="E90" s="175" t="s">
        <v>64</v>
      </c>
      <c r="F90" s="174" t="s">
        <v>63</v>
      </c>
      <c r="G90" s="251" t="s">
        <v>64</v>
      </c>
      <c r="I90" s="177" t="s">
        <v>65</v>
      </c>
    </row>
    <row r="91" spans="1:12" ht="26.25" customHeight="1">
      <c r="A91" s="171" t="s">
        <v>66</v>
      </c>
      <c r="B91" s="172"/>
      <c r="C91" s="252">
        <v>1</v>
      </c>
      <c r="D91" s="179"/>
      <c r="E91" s="180" t="str">
        <f>IF(ISBLANK(D91),"-",$D$101/$D$98*D91)</f>
        <v>-</v>
      </c>
      <c r="F91" s="179"/>
      <c r="G91" s="181" t="str">
        <f>IF(ISBLANK(F91),"-",$D$101/$F$98*F91)</f>
        <v>-</v>
      </c>
      <c r="I91" s="182"/>
    </row>
    <row r="92" spans="1:12" ht="26.25" customHeight="1">
      <c r="A92" s="171" t="s">
        <v>67</v>
      </c>
      <c r="B92" s="172">
        <v>1</v>
      </c>
      <c r="C92" s="200">
        <v>2</v>
      </c>
      <c r="D92" s="184"/>
      <c r="E92" s="185" t="str">
        <f>IF(ISBLANK(D92),"-",$D$101/$D$98*D92)</f>
        <v>-</v>
      </c>
      <c r="F92" s="184"/>
      <c r="G92" s="186" t="str">
        <f>IF(ISBLANK(F92),"-",$D$101/$F$98*F92)</f>
        <v>-</v>
      </c>
      <c r="I92" s="480" t="e">
        <f>ABS((F96/D96*D95)-F95)/D95</f>
        <v>#DIV/0!</v>
      </c>
    </row>
    <row r="93" spans="1:12" ht="26.25" customHeight="1">
      <c r="A93" s="171" t="s">
        <v>68</v>
      </c>
      <c r="B93" s="172">
        <v>1</v>
      </c>
      <c r="C93" s="200">
        <v>3</v>
      </c>
      <c r="D93" s="184"/>
      <c r="E93" s="185" t="str">
        <f>IF(ISBLANK(D93),"-",$D$101/$D$98*D93)</f>
        <v>-</v>
      </c>
      <c r="F93" s="184"/>
      <c r="G93" s="186" t="str">
        <f>IF(ISBLANK(F93),"-",$D$101/$F$98*F93)</f>
        <v>-</v>
      </c>
      <c r="I93" s="480"/>
    </row>
    <row r="94" spans="1:12" ht="27" customHeight="1" thickBot="1">
      <c r="A94" s="171" t="s">
        <v>69</v>
      </c>
      <c r="B94" s="172">
        <v>1</v>
      </c>
      <c r="C94" s="253">
        <v>4</v>
      </c>
      <c r="D94" s="188"/>
      <c r="E94" s="189" t="str">
        <f>IF(ISBLANK(D94),"-",$D$101/$D$98*D94)</f>
        <v>-</v>
      </c>
      <c r="F94" s="254"/>
      <c r="G94" s="190" t="str">
        <f>IF(ISBLANK(F94),"-",$D$101/$F$98*F94)</f>
        <v>-</v>
      </c>
      <c r="I94" s="191"/>
    </row>
    <row r="95" spans="1:12" ht="27" customHeight="1" thickBot="1">
      <c r="A95" s="171" t="s">
        <v>70</v>
      </c>
      <c r="B95" s="172">
        <v>1</v>
      </c>
      <c r="C95" s="156" t="s">
        <v>71</v>
      </c>
      <c r="D95" s="255" t="e">
        <f>AVERAGE(D91:D94)</f>
        <v>#DIV/0!</v>
      </c>
      <c r="E95" s="194" t="e">
        <f>AVERAGE(E91:E94)</f>
        <v>#DIV/0!</v>
      </c>
      <c r="F95" s="256" t="e">
        <f>AVERAGE(F91:F94)</f>
        <v>#DIV/0!</v>
      </c>
      <c r="G95" s="257" t="e">
        <f>AVERAGE(G91:G94)</f>
        <v>#DIV/0!</v>
      </c>
    </row>
    <row r="96" spans="1:12" ht="26.25" customHeight="1">
      <c r="A96" s="171" t="s">
        <v>72</v>
      </c>
      <c r="B96" s="157">
        <v>1</v>
      </c>
      <c r="C96" s="258" t="s">
        <v>113</v>
      </c>
      <c r="D96" s="259"/>
      <c r="E96" s="146"/>
      <c r="F96" s="197"/>
    </row>
    <row r="97" spans="1:10" ht="26.25" customHeight="1">
      <c r="A97" s="171" t="s">
        <v>74</v>
      </c>
      <c r="B97" s="157">
        <v>1</v>
      </c>
      <c r="C97" s="260" t="s">
        <v>114</v>
      </c>
      <c r="D97" s="261" t="e">
        <f>D96*$B$87</f>
        <v>#DIV/0!</v>
      </c>
      <c r="E97" s="200"/>
      <c r="F97" s="199" t="e">
        <f>F96*$B$87</f>
        <v>#DIV/0!</v>
      </c>
    </row>
    <row r="98" spans="1:10" ht="19.5" customHeight="1" thickBot="1">
      <c r="A98" s="171" t="s">
        <v>76</v>
      </c>
      <c r="B98" s="200" t="e">
        <f>(B97/B96)*(B95/B94)*(B93/B92)*(B91/B90)*B89</f>
        <v>#DIV/0!</v>
      </c>
      <c r="C98" s="260" t="s">
        <v>115</v>
      </c>
      <c r="D98" s="262" t="e">
        <f>D97*$B$83/100</f>
        <v>#DIV/0!</v>
      </c>
      <c r="E98" s="202"/>
      <c r="F98" s="201" t="e">
        <f>F97*$B$83/100</f>
        <v>#DIV/0!</v>
      </c>
    </row>
    <row r="99" spans="1:10" ht="19.5" customHeight="1" thickBot="1">
      <c r="A99" s="481" t="s">
        <v>78</v>
      </c>
      <c r="B99" s="482"/>
      <c r="C99" s="260" t="s">
        <v>116</v>
      </c>
      <c r="D99" s="263" t="e">
        <f>D98/$B$98</f>
        <v>#DIV/0!</v>
      </c>
      <c r="E99" s="202"/>
      <c r="F99" s="205" t="e">
        <f>F98/$B$98</f>
        <v>#DIV/0!</v>
      </c>
      <c r="H99" s="137"/>
    </row>
    <row r="100" spans="1:10" ht="19.5" customHeight="1" thickBot="1">
      <c r="A100" s="483"/>
      <c r="B100" s="484"/>
      <c r="C100" s="260" t="s">
        <v>80</v>
      </c>
      <c r="D100" s="264" t="e">
        <f>$B$56/$B$116</f>
        <v>#DIV/0!</v>
      </c>
      <c r="F100" s="210"/>
      <c r="G100" s="265"/>
      <c r="H100" s="137"/>
    </row>
    <row r="101" spans="1:10" ht="18.75">
      <c r="C101" s="260" t="s">
        <v>81</v>
      </c>
      <c r="D101" s="261" t="e">
        <f>D100*$B$98</f>
        <v>#DIV/0!</v>
      </c>
      <c r="F101" s="210"/>
      <c r="H101" s="137"/>
    </row>
    <row r="102" spans="1:10" ht="19.5" customHeight="1" thickBot="1">
      <c r="C102" s="266" t="s">
        <v>82</v>
      </c>
      <c r="D102" s="267" t="e">
        <f>D101/B34</f>
        <v>#DIV/0!</v>
      </c>
      <c r="F102" s="214"/>
      <c r="H102" s="137"/>
      <c r="J102" s="268"/>
    </row>
    <row r="103" spans="1:10" ht="18.75">
      <c r="C103" s="269" t="s">
        <v>117</v>
      </c>
      <c r="D103" s="270" t="e">
        <f>AVERAGE(E91:E94,G91:G94)</f>
        <v>#DIV/0!</v>
      </c>
      <c r="F103" s="214"/>
      <c r="G103" s="265"/>
      <c r="H103" s="137"/>
      <c r="J103" s="271"/>
    </row>
    <row r="104" spans="1:10" ht="18.75">
      <c r="C104" s="242" t="s">
        <v>84</v>
      </c>
      <c r="D104" s="272" t="e">
        <f>STDEV(E91:E94,G91:G94)/D103</f>
        <v>#DIV/0!</v>
      </c>
      <c r="F104" s="214"/>
      <c r="H104" s="137"/>
      <c r="J104" s="271"/>
    </row>
    <row r="105" spans="1:10" ht="19.5" customHeight="1" thickBot="1">
      <c r="C105" s="245" t="s">
        <v>20</v>
      </c>
      <c r="D105" s="273">
        <f>COUNT(E91:E94,G91:G94)</f>
        <v>0</v>
      </c>
      <c r="F105" s="214"/>
      <c r="H105" s="137"/>
      <c r="J105" s="271"/>
    </row>
    <row r="106" spans="1:10" ht="19.5" customHeight="1" thickBot="1">
      <c r="A106" s="218"/>
      <c r="B106" s="218"/>
      <c r="C106" s="218"/>
      <c r="D106" s="218"/>
      <c r="E106" s="218"/>
    </row>
    <row r="107" spans="1:10" ht="27" customHeight="1" thickBot="1">
      <c r="A107" s="169" t="s">
        <v>118</v>
      </c>
      <c r="B107" s="170"/>
      <c r="C107" s="224" t="s">
        <v>119</v>
      </c>
      <c r="D107" s="224" t="s">
        <v>63</v>
      </c>
      <c r="E107" s="224" t="s">
        <v>120</v>
      </c>
      <c r="F107" s="274" t="s">
        <v>121</v>
      </c>
    </row>
    <row r="108" spans="1:10" ht="26.25" customHeight="1">
      <c r="A108" s="171" t="s">
        <v>122</v>
      </c>
      <c r="B108" s="172"/>
      <c r="C108" s="225">
        <v>1</v>
      </c>
      <c r="D108" s="275"/>
      <c r="E108" s="276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>
      <c r="A109" s="171" t="s">
        <v>95</v>
      </c>
      <c r="B109" s="172"/>
      <c r="C109" s="229">
        <v>2</v>
      </c>
      <c r="D109" s="278"/>
      <c r="E109" s="279" t="str">
        <f t="shared" si="1"/>
        <v>-</v>
      </c>
      <c r="F109" s="280" t="str">
        <f t="shared" si="2"/>
        <v>-</v>
      </c>
    </row>
    <row r="110" spans="1:10" ht="26.25" customHeight="1">
      <c r="A110" s="171" t="s">
        <v>96</v>
      </c>
      <c r="B110" s="172">
        <v>1</v>
      </c>
      <c r="C110" s="229">
        <v>3</v>
      </c>
      <c r="D110" s="278"/>
      <c r="E110" s="279" t="str">
        <f t="shared" si="1"/>
        <v>-</v>
      </c>
      <c r="F110" s="280" t="str">
        <f t="shared" si="2"/>
        <v>-</v>
      </c>
    </row>
    <row r="111" spans="1:10" ht="26.25" customHeight="1">
      <c r="A111" s="171" t="s">
        <v>97</v>
      </c>
      <c r="B111" s="172">
        <v>1</v>
      </c>
      <c r="C111" s="229">
        <v>4</v>
      </c>
      <c r="D111" s="278"/>
      <c r="E111" s="279" t="str">
        <f t="shared" si="1"/>
        <v>-</v>
      </c>
      <c r="F111" s="280" t="str">
        <f t="shared" si="2"/>
        <v>-</v>
      </c>
    </row>
    <row r="112" spans="1:10" ht="26.25" customHeight="1">
      <c r="A112" s="171" t="s">
        <v>98</v>
      </c>
      <c r="B112" s="172">
        <v>1</v>
      </c>
      <c r="C112" s="229">
        <v>5</v>
      </c>
      <c r="D112" s="278"/>
      <c r="E112" s="279" t="str">
        <f t="shared" si="1"/>
        <v>-</v>
      </c>
      <c r="F112" s="280" t="str">
        <f t="shared" si="2"/>
        <v>-</v>
      </c>
    </row>
    <row r="113" spans="1:10" ht="27" customHeight="1" thickBot="1">
      <c r="A113" s="171" t="s">
        <v>100</v>
      </c>
      <c r="B113" s="172">
        <v>1</v>
      </c>
      <c r="C113" s="233">
        <v>6</v>
      </c>
      <c r="D113" s="281"/>
      <c r="E113" s="282" t="str">
        <f t="shared" si="1"/>
        <v>-</v>
      </c>
      <c r="F113" s="283" t="str">
        <f t="shared" si="2"/>
        <v>-</v>
      </c>
    </row>
    <row r="114" spans="1:10" ht="27" customHeight="1" thickBot="1">
      <c r="A114" s="171" t="s">
        <v>101</v>
      </c>
      <c r="B114" s="172">
        <v>1</v>
      </c>
      <c r="C114" s="284"/>
      <c r="D114" s="200"/>
      <c r="E114" s="146"/>
      <c r="F114" s="280"/>
    </row>
    <row r="115" spans="1:10" ht="26.25" customHeight="1">
      <c r="A115" s="171" t="s">
        <v>102</v>
      </c>
      <c r="B115" s="172">
        <v>1</v>
      </c>
      <c r="C115" s="284"/>
      <c r="D115" s="285" t="s">
        <v>71</v>
      </c>
      <c r="E115" s="286" t="e">
        <f>AVERAGE(E108:E113)</f>
        <v>#DIV/0!</v>
      </c>
      <c r="F115" s="287" t="e">
        <f>AVERAGE(F108:F113)</f>
        <v>#DIV/0!</v>
      </c>
    </row>
    <row r="116" spans="1:10" ht="27" customHeight="1" thickBot="1">
      <c r="A116" s="171" t="s">
        <v>103</v>
      </c>
      <c r="B116" s="183" t="e">
        <f>(B115/B114)*(B113/B112)*(B111/B110)*(B109/B108)*B107</f>
        <v>#DIV/0!</v>
      </c>
      <c r="C116" s="288"/>
      <c r="D116" s="289" t="s">
        <v>84</v>
      </c>
      <c r="E116" s="243" t="e">
        <f>STDEV(E108:E113)/E115</f>
        <v>#DIV/0!</v>
      </c>
      <c r="F116" s="290" t="e">
        <f>STDEV(F108:F113)/F115</f>
        <v>#DIV/0!</v>
      </c>
      <c r="I116" s="146"/>
    </row>
    <row r="117" spans="1:10" ht="27" customHeight="1" thickBot="1">
      <c r="A117" s="481" t="s">
        <v>78</v>
      </c>
      <c r="B117" s="485"/>
      <c r="C117" s="291"/>
      <c r="D117" s="245" t="s">
        <v>20</v>
      </c>
      <c r="E117" s="292">
        <f>COUNT(E108:E113)</f>
        <v>0</v>
      </c>
      <c r="F117" s="293">
        <f>COUNT(F108:F113)</f>
        <v>0</v>
      </c>
      <c r="I117" s="146"/>
      <c r="J117" s="271"/>
    </row>
    <row r="118" spans="1:10" ht="26.25" customHeight="1" thickBot="1">
      <c r="A118" s="483"/>
      <c r="B118" s="486"/>
      <c r="C118" s="146"/>
      <c r="D118" s="294"/>
      <c r="E118" s="487" t="s">
        <v>123</v>
      </c>
      <c r="F118" s="488"/>
      <c r="G118" s="146"/>
      <c r="H118" s="146"/>
      <c r="I118" s="146"/>
    </row>
    <row r="119" spans="1:10" ht="25.5" customHeight="1">
      <c r="A119" s="295"/>
      <c r="B119" s="167"/>
      <c r="C119" s="146"/>
      <c r="D119" s="289" t="s">
        <v>124</v>
      </c>
      <c r="E119" s="296">
        <f>MIN(E108:E113)</f>
        <v>0</v>
      </c>
      <c r="F119" s="297">
        <f>MIN(F108:F113)</f>
        <v>0</v>
      </c>
      <c r="G119" s="146"/>
      <c r="H119" s="146"/>
      <c r="I119" s="146"/>
    </row>
    <row r="120" spans="1:10" ht="24" customHeight="1" thickBot="1">
      <c r="A120" s="295"/>
      <c r="B120" s="167"/>
      <c r="C120" s="146"/>
      <c r="D120" s="211" t="s">
        <v>125</v>
      </c>
      <c r="E120" s="298">
        <f>MAX(E108:E113)</f>
        <v>0</v>
      </c>
      <c r="F120" s="299">
        <f>MAX(F108:F113)</f>
        <v>0</v>
      </c>
      <c r="G120" s="146"/>
      <c r="H120" s="146"/>
      <c r="I120" s="146"/>
    </row>
    <row r="121" spans="1:10" ht="27" customHeight="1">
      <c r="A121" s="295"/>
      <c r="B121" s="167"/>
      <c r="C121" s="146"/>
      <c r="D121" s="146"/>
      <c r="E121" s="146"/>
      <c r="F121" s="200"/>
      <c r="G121" s="146"/>
      <c r="H121" s="146"/>
      <c r="I121" s="146"/>
    </row>
    <row r="122" spans="1:10" ht="25.5" customHeight="1">
      <c r="A122" s="295"/>
      <c r="B122" s="167"/>
      <c r="C122" s="146"/>
      <c r="D122" s="146"/>
      <c r="E122" s="146"/>
      <c r="F122" s="200"/>
      <c r="G122" s="146"/>
      <c r="H122" s="146"/>
      <c r="I122" s="146"/>
    </row>
    <row r="123" spans="1:10" ht="18.75">
      <c r="A123" s="295"/>
      <c r="B123" s="167"/>
      <c r="C123" s="146"/>
      <c r="D123" s="146"/>
      <c r="E123" s="146"/>
      <c r="F123" s="200"/>
      <c r="G123" s="146"/>
      <c r="H123" s="146"/>
      <c r="I123" s="146"/>
    </row>
    <row r="124" spans="1:10" ht="45.75" customHeight="1">
      <c r="A124" s="155" t="s">
        <v>106</v>
      </c>
      <c r="B124" s="156" t="s">
        <v>126</v>
      </c>
      <c r="C124" s="489" t="str">
        <f>B26</f>
        <v>RIFAMPICIN</v>
      </c>
      <c r="D124" s="489"/>
      <c r="E124" s="146" t="s">
        <v>127</v>
      </c>
      <c r="F124" s="146"/>
      <c r="G124" s="300" t="e">
        <f>F115</f>
        <v>#DIV/0!</v>
      </c>
      <c r="H124" s="146"/>
      <c r="I124" s="146"/>
    </row>
    <row r="125" spans="1:10" ht="45.75" customHeight="1">
      <c r="A125" s="155"/>
      <c r="B125" s="156" t="s">
        <v>128</v>
      </c>
      <c r="C125" s="156" t="s">
        <v>129</v>
      </c>
      <c r="D125" s="300">
        <f>MIN(F108:F113)</f>
        <v>0</v>
      </c>
      <c r="E125" s="156" t="s">
        <v>130</v>
      </c>
      <c r="F125" s="300">
        <f>MAX(F108:F113)</f>
        <v>0</v>
      </c>
      <c r="G125" s="301"/>
      <c r="H125" s="146"/>
      <c r="I125" s="146"/>
    </row>
    <row r="126" spans="1:10" ht="19.5" customHeight="1" thickBot="1">
      <c r="A126" s="302"/>
      <c r="B126" s="302"/>
      <c r="C126" s="303"/>
      <c r="D126" s="303"/>
      <c r="E126" s="303"/>
      <c r="F126" s="303"/>
      <c r="G126" s="303"/>
      <c r="H126" s="303"/>
    </row>
    <row r="127" spans="1:10" ht="18.75">
      <c r="B127" s="490" t="s">
        <v>26</v>
      </c>
      <c r="C127" s="490"/>
      <c r="E127" s="250" t="s">
        <v>27</v>
      </c>
      <c r="F127" s="304"/>
      <c r="G127" s="490" t="s">
        <v>28</v>
      </c>
      <c r="H127" s="490"/>
    </row>
    <row r="128" spans="1:10" ht="69.95" customHeight="1">
      <c r="A128" s="155" t="s">
        <v>29</v>
      </c>
      <c r="B128" s="305"/>
      <c r="C128" s="305"/>
      <c r="E128" s="305"/>
      <c r="F128" s="146"/>
      <c r="G128" s="305"/>
      <c r="H128" s="305"/>
    </row>
    <row r="129" spans="1:9" ht="69.95" customHeight="1">
      <c r="A129" s="155" t="s">
        <v>30</v>
      </c>
      <c r="B129" s="306"/>
      <c r="C129" s="306"/>
      <c r="E129" s="306"/>
      <c r="F129" s="146"/>
      <c r="G129" s="307"/>
      <c r="H129" s="307"/>
    </row>
    <row r="130" spans="1:9" ht="18.75">
      <c r="A130" s="200"/>
      <c r="B130" s="200"/>
      <c r="C130" s="200"/>
      <c r="D130" s="200"/>
      <c r="E130" s="200"/>
      <c r="F130" s="202"/>
      <c r="G130" s="200"/>
      <c r="H130" s="200"/>
      <c r="I130" s="146"/>
    </row>
    <row r="131" spans="1:9" ht="18.75">
      <c r="A131" s="200"/>
      <c r="B131" s="200"/>
      <c r="C131" s="200"/>
      <c r="D131" s="200"/>
      <c r="E131" s="200"/>
      <c r="F131" s="202"/>
      <c r="G131" s="200"/>
      <c r="H131" s="200"/>
      <c r="I131" s="146"/>
    </row>
    <row r="132" spans="1:9" ht="18.75">
      <c r="A132" s="200"/>
      <c r="B132" s="200"/>
      <c r="C132" s="200"/>
      <c r="D132" s="200"/>
      <c r="E132" s="200"/>
      <c r="F132" s="202"/>
      <c r="G132" s="200"/>
      <c r="H132" s="200"/>
      <c r="I132" s="146"/>
    </row>
    <row r="133" spans="1:9" ht="18.75">
      <c r="A133" s="200"/>
      <c r="B133" s="200"/>
      <c r="C133" s="200"/>
      <c r="D133" s="200"/>
      <c r="E133" s="200"/>
      <c r="F133" s="202"/>
      <c r="G133" s="200"/>
      <c r="H133" s="200"/>
      <c r="I133" s="146"/>
    </row>
    <row r="134" spans="1:9" ht="18.75">
      <c r="A134" s="200"/>
      <c r="B134" s="200"/>
      <c r="C134" s="200"/>
      <c r="D134" s="200"/>
      <c r="E134" s="200"/>
      <c r="F134" s="202"/>
      <c r="G134" s="200"/>
      <c r="H134" s="200"/>
      <c r="I134" s="146"/>
    </row>
    <row r="135" spans="1:9" ht="18.75">
      <c r="A135" s="200"/>
      <c r="B135" s="200"/>
      <c r="C135" s="200"/>
      <c r="D135" s="200"/>
      <c r="E135" s="200"/>
      <c r="F135" s="202"/>
      <c r="G135" s="200"/>
      <c r="H135" s="200"/>
      <c r="I135" s="146"/>
    </row>
    <row r="136" spans="1:9" ht="18.75">
      <c r="A136" s="200"/>
      <c r="B136" s="200"/>
      <c r="C136" s="200"/>
      <c r="D136" s="200"/>
      <c r="E136" s="200"/>
      <c r="F136" s="202"/>
      <c r="G136" s="200"/>
      <c r="H136" s="200"/>
      <c r="I136" s="146"/>
    </row>
    <row r="137" spans="1:9" ht="18.75">
      <c r="A137" s="200"/>
      <c r="B137" s="200"/>
      <c r="C137" s="200"/>
      <c r="D137" s="200"/>
      <c r="E137" s="200"/>
      <c r="F137" s="202"/>
      <c r="G137" s="200"/>
      <c r="H137" s="200"/>
      <c r="I137" s="146"/>
    </row>
    <row r="138" spans="1:9" ht="18.75">
      <c r="A138" s="200"/>
      <c r="B138" s="200"/>
      <c r="C138" s="200"/>
      <c r="D138" s="200"/>
      <c r="E138" s="200"/>
      <c r="F138" s="202"/>
      <c r="G138" s="200"/>
      <c r="H138" s="200"/>
      <c r="I138" s="146"/>
    </row>
    <row r="250" spans="1:1">
      <c r="A250" s="93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3" zoomScaleNormal="40" zoomScalePageLayoutView="43" workbookViewId="0">
      <selection sqref="A1:I131"/>
    </sheetView>
  </sheetViews>
  <sheetFormatPr defaultColWidth="9.140625" defaultRowHeight="13.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0"/>
  </cols>
  <sheetData>
    <row r="1" spans="1:9" ht="18.75" customHeight="1">
      <c r="A1" s="550" t="s">
        <v>45</v>
      </c>
      <c r="B1" s="550"/>
      <c r="C1" s="550"/>
      <c r="D1" s="550"/>
      <c r="E1" s="550"/>
      <c r="F1" s="550"/>
      <c r="G1" s="550"/>
      <c r="H1" s="550"/>
      <c r="I1" s="550"/>
    </row>
    <row r="2" spans="1:9" ht="18.75" customHeight="1">
      <c r="A2" s="550"/>
      <c r="B2" s="550"/>
      <c r="C2" s="550"/>
      <c r="D2" s="550"/>
      <c r="E2" s="550"/>
      <c r="F2" s="550"/>
      <c r="G2" s="550"/>
      <c r="H2" s="550"/>
      <c r="I2" s="550"/>
    </row>
    <row r="3" spans="1:9" ht="18.75" customHeight="1">
      <c r="A3" s="550"/>
      <c r="B3" s="550"/>
      <c r="C3" s="550"/>
      <c r="D3" s="550"/>
      <c r="E3" s="550"/>
      <c r="F3" s="550"/>
      <c r="G3" s="550"/>
      <c r="H3" s="550"/>
      <c r="I3" s="550"/>
    </row>
    <row r="4" spans="1:9" ht="18.75" customHeight="1">
      <c r="A4" s="550"/>
      <c r="B4" s="550"/>
      <c r="C4" s="550"/>
      <c r="D4" s="550"/>
      <c r="E4" s="550"/>
      <c r="F4" s="550"/>
      <c r="G4" s="550"/>
      <c r="H4" s="550"/>
      <c r="I4" s="550"/>
    </row>
    <row r="5" spans="1:9" ht="18.75" customHeight="1">
      <c r="A5" s="550"/>
      <c r="B5" s="550"/>
      <c r="C5" s="550"/>
      <c r="D5" s="550"/>
      <c r="E5" s="550"/>
      <c r="F5" s="550"/>
      <c r="G5" s="550"/>
      <c r="H5" s="550"/>
      <c r="I5" s="550"/>
    </row>
    <row r="6" spans="1:9" ht="18.75" customHeight="1">
      <c r="A6" s="550"/>
      <c r="B6" s="550"/>
      <c r="C6" s="550"/>
      <c r="D6" s="550"/>
      <c r="E6" s="550"/>
      <c r="F6" s="550"/>
      <c r="G6" s="550"/>
      <c r="H6" s="550"/>
      <c r="I6" s="550"/>
    </row>
    <row r="7" spans="1:9" ht="18.75" customHeight="1">
      <c r="A7" s="550"/>
      <c r="B7" s="550"/>
      <c r="C7" s="550"/>
      <c r="D7" s="550"/>
      <c r="E7" s="550"/>
      <c r="F7" s="550"/>
      <c r="G7" s="550"/>
      <c r="H7" s="550"/>
      <c r="I7" s="550"/>
    </row>
    <row r="8" spans="1:9">
      <c r="A8" s="551" t="s">
        <v>46</v>
      </c>
      <c r="B8" s="551"/>
      <c r="C8" s="551"/>
      <c r="D8" s="551"/>
      <c r="E8" s="551"/>
      <c r="F8" s="551"/>
      <c r="G8" s="551"/>
      <c r="H8" s="551"/>
      <c r="I8" s="551"/>
    </row>
    <row r="9" spans="1:9">
      <c r="A9" s="551"/>
      <c r="B9" s="551"/>
      <c r="C9" s="551"/>
      <c r="D9" s="551"/>
      <c r="E9" s="551"/>
      <c r="F9" s="551"/>
      <c r="G9" s="551"/>
      <c r="H9" s="551"/>
      <c r="I9" s="551"/>
    </row>
    <row r="10" spans="1:9">
      <c r="A10" s="551"/>
      <c r="B10" s="551"/>
      <c r="C10" s="551"/>
      <c r="D10" s="551"/>
      <c r="E10" s="551"/>
      <c r="F10" s="551"/>
      <c r="G10" s="551"/>
      <c r="H10" s="551"/>
      <c r="I10" s="551"/>
    </row>
    <row r="11" spans="1:9">
      <c r="A11" s="551"/>
      <c r="B11" s="551"/>
      <c r="C11" s="551"/>
      <c r="D11" s="551"/>
      <c r="E11" s="551"/>
      <c r="F11" s="551"/>
      <c r="G11" s="551"/>
      <c r="H11" s="551"/>
      <c r="I11" s="551"/>
    </row>
    <row r="12" spans="1:9">
      <c r="A12" s="551"/>
      <c r="B12" s="551"/>
      <c r="C12" s="551"/>
      <c r="D12" s="551"/>
      <c r="E12" s="551"/>
      <c r="F12" s="551"/>
      <c r="G12" s="551"/>
      <c r="H12" s="551"/>
      <c r="I12" s="551"/>
    </row>
    <row r="13" spans="1:9">
      <c r="A13" s="551"/>
      <c r="B13" s="551"/>
      <c r="C13" s="551"/>
      <c r="D13" s="551"/>
      <c r="E13" s="551"/>
      <c r="F13" s="551"/>
      <c r="G13" s="551"/>
      <c r="H13" s="551"/>
      <c r="I13" s="551"/>
    </row>
    <row r="14" spans="1:9">
      <c r="A14" s="551"/>
      <c r="B14" s="551"/>
      <c r="C14" s="551"/>
      <c r="D14" s="551"/>
      <c r="E14" s="551"/>
      <c r="F14" s="551"/>
      <c r="G14" s="551"/>
      <c r="H14" s="551"/>
      <c r="I14" s="551"/>
    </row>
    <row r="15" spans="1:9" ht="19.5" customHeight="1" thickBot="1">
      <c r="A15" s="309"/>
    </row>
    <row r="16" spans="1:9" ht="19.5" customHeight="1" thickBot="1">
      <c r="A16" s="552" t="s">
        <v>31</v>
      </c>
      <c r="B16" s="553"/>
      <c r="C16" s="553"/>
      <c r="D16" s="553"/>
      <c r="E16" s="553"/>
      <c r="F16" s="553"/>
      <c r="G16" s="553"/>
      <c r="H16" s="554"/>
    </row>
    <row r="17" spans="1:14" ht="20.25" customHeight="1">
      <c r="A17" s="555" t="s">
        <v>47</v>
      </c>
      <c r="B17" s="555"/>
      <c r="C17" s="555"/>
      <c r="D17" s="555"/>
      <c r="E17" s="555"/>
      <c r="F17" s="555"/>
      <c r="G17" s="555"/>
      <c r="H17" s="555"/>
    </row>
    <row r="18" spans="1:14" ht="26.25" customHeight="1">
      <c r="A18" s="311" t="s">
        <v>33</v>
      </c>
      <c r="B18" s="556" t="s">
        <v>131</v>
      </c>
      <c r="C18" s="556"/>
      <c r="D18" s="312"/>
      <c r="E18" s="313"/>
      <c r="F18" s="314"/>
      <c r="G18" s="314"/>
      <c r="H18" s="314"/>
    </row>
    <row r="19" spans="1:14" ht="26.25" customHeight="1">
      <c r="A19" s="311" t="s">
        <v>34</v>
      </c>
      <c r="B19" s="475" t="s">
        <v>7</v>
      </c>
      <c r="C19" s="314">
        <v>1</v>
      </c>
      <c r="D19" s="314"/>
      <c r="E19" s="314"/>
      <c r="F19" s="314"/>
      <c r="G19" s="314"/>
      <c r="H19" s="314"/>
    </row>
    <row r="20" spans="1:14" ht="26.25" customHeight="1">
      <c r="A20" s="311" t="s">
        <v>35</v>
      </c>
      <c r="B20" s="557" t="s">
        <v>142</v>
      </c>
      <c r="C20" s="557"/>
      <c r="D20" s="314"/>
      <c r="E20" s="314"/>
      <c r="F20" s="314"/>
      <c r="G20" s="314"/>
      <c r="H20" s="314"/>
    </row>
    <row r="21" spans="1:14" ht="26.25" customHeight="1">
      <c r="A21" s="311" t="s">
        <v>36</v>
      </c>
      <c r="B21" s="557" t="s">
        <v>140</v>
      </c>
      <c r="C21" s="557"/>
      <c r="D21" s="557"/>
      <c r="E21" s="557"/>
      <c r="F21" s="557"/>
      <c r="G21" s="557"/>
      <c r="H21" s="557"/>
      <c r="I21" s="315"/>
    </row>
    <row r="22" spans="1:14" ht="26.25" customHeight="1">
      <c r="A22" s="311" t="s">
        <v>37</v>
      </c>
      <c r="B22" s="316" t="s">
        <v>133</v>
      </c>
      <c r="C22" s="314"/>
      <c r="D22" s="314"/>
      <c r="E22" s="314"/>
      <c r="F22" s="314"/>
      <c r="G22" s="314"/>
      <c r="H22" s="314"/>
    </row>
    <row r="23" spans="1:14" ht="26.25" customHeight="1">
      <c r="A23" s="311" t="s">
        <v>38</v>
      </c>
      <c r="B23" s="316"/>
      <c r="C23" s="314"/>
      <c r="D23" s="314"/>
      <c r="E23" s="314"/>
      <c r="F23" s="314"/>
      <c r="G23" s="314"/>
      <c r="H23" s="314"/>
    </row>
    <row r="24" spans="1:14" ht="18.75">
      <c r="A24" s="311"/>
      <c r="B24" s="317"/>
    </row>
    <row r="25" spans="1:14" ht="18.75">
      <c r="A25" s="318" t="s">
        <v>1</v>
      </c>
      <c r="B25" s="317"/>
    </row>
    <row r="26" spans="1:14" ht="26.25" customHeight="1">
      <c r="A26" s="319" t="s">
        <v>4</v>
      </c>
      <c r="B26" s="556" t="s">
        <v>135</v>
      </c>
      <c r="C26" s="556"/>
    </row>
    <row r="27" spans="1:14" ht="26.25" customHeight="1">
      <c r="A27" s="320" t="s">
        <v>48</v>
      </c>
      <c r="B27" s="558" t="s">
        <v>143</v>
      </c>
      <c r="C27" s="558"/>
    </row>
    <row r="28" spans="1:14" ht="27" customHeight="1" thickBot="1">
      <c r="A28" s="320" t="s">
        <v>6</v>
      </c>
      <c r="B28" s="321">
        <v>100.33</v>
      </c>
    </row>
    <row r="29" spans="1:14" s="323" customFormat="1" ht="27" customHeight="1" thickBot="1">
      <c r="A29" s="320" t="s">
        <v>49</v>
      </c>
      <c r="B29" s="322">
        <v>0</v>
      </c>
      <c r="C29" s="533" t="s">
        <v>50</v>
      </c>
      <c r="D29" s="534"/>
      <c r="E29" s="534"/>
      <c r="F29" s="534"/>
      <c r="G29" s="535"/>
      <c r="I29" s="324"/>
      <c r="J29" s="324"/>
      <c r="K29" s="324"/>
      <c r="L29" s="324"/>
    </row>
    <row r="30" spans="1:14" s="323" customFormat="1" ht="19.5" customHeight="1" thickBot="1">
      <c r="A30" s="320" t="s">
        <v>51</v>
      </c>
      <c r="B30" s="325">
        <f>B28-B29</f>
        <v>100.33</v>
      </c>
      <c r="C30" s="326"/>
      <c r="D30" s="326"/>
      <c r="E30" s="326"/>
      <c r="F30" s="326"/>
      <c r="G30" s="327"/>
      <c r="I30" s="324"/>
      <c r="J30" s="324"/>
      <c r="K30" s="324"/>
      <c r="L30" s="324"/>
    </row>
    <row r="31" spans="1:14" s="323" customFormat="1" ht="27" customHeight="1" thickBot="1">
      <c r="A31" s="320" t="s">
        <v>52</v>
      </c>
      <c r="B31" s="328">
        <v>1</v>
      </c>
      <c r="C31" s="536" t="s">
        <v>53</v>
      </c>
      <c r="D31" s="537"/>
      <c r="E31" s="537"/>
      <c r="F31" s="537"/>
      <c r="G31" s="537"/>
      <c r="H31" s="538"/>
      <c r="I31" s="324"/>
      <c r="J31" s="324"/>
      <c r="K31" s="324"/>
      <c r="L31" s="324"/>
    </row>
    <row r="32" spans="1:14" s="323" customFormat="1" ht="27" customHeight="1" thickBot="1">
      <c r="A32" s="320" t="s">
        <v>54</v>
      </c>
      <c r="B32" s="328">
        <v>1</v>
      </c>
      <c r="C32" s="536" t="s">
        <v>55</v>
      </c>
      <c r="D32" s="537"/>
      <c r="E32" s="537"/>
      <c r="F32" s="537"/>
      <c r="G32" s="537"/>
      <c r="H32" s="538"/>
      <c r="I32" s="324"/>
      <c r="J32" s="324"/>
      <c r="K32" s="324"/>
      <c r="L32" s="329"/>
      <c r="M32" s="329"/>
      <c r="N32" s="330"/>
    </row>
    <row r="33" spans="1:14" s="323" customFormat="1" ht="17.25" customHeight="1">
      <c r="A33" s="320"/>
      <c r="B33" s="331"/>
      <c r="C33" s="332"/>
      <c r="D33" s="332"/>
      <c r="E33" s="332"/>
      <c r="F33" s="332"/>
      <c r="G33" s="332"/>
      <c r="H33" s="332"/>
      <c r="I33" s="324"/>
      <c r="J33" s="324"/>
      <c r="K33" s="324"/>
      <c r="L33" s="329"/>
      <c r="M33" s="329"/>
      <c r="N33" s="330"/>
    </row>
    <row r="34" spans="1:14" s="323" customFormat="1" ht="18.75">
      <c r="A34" s="320" t="s">
        <v>56</v>
      </c>
      <c r="B34" s="333">
        <f>B31/B32</f>
        <v>1</v>
      </c>
      <c r="C34" s="309" t="s">
        <v>57</v>
      </c>
      <c r="D34" s="309"/>
      <c r="E34" s="309"/>
      <c r="F34" s="309"/>
      <c r="G34" s="309"/>
      <c r="I34" s="324"/>
      <c r="J34" s="324"/>
      <c r="K34" s="324"/>
      <c r="L34" s="329"/>
      <c r="M34" s="329"/>
      <c r="N34" s="330"/>
    </row>
    <row r="35" spans="1:14" s="323" customFormat="1" ht="19.5" customHeight="1" thickBot="1">
      <c r="A35" s="320"/>
      <c r="B35" s="325"/>
      <c r="G35" s="309"/>
      <c r="I35" s="324"/>
      <c r="J35" s="324"/>
      <c r="K35" s="324"/>
      <c r="L35" s="329"/>
      <c r="M35" s="329"/>
      <c r="N35" s="330"/>
    </row>
    <row r="36" spans="1:14" s="323" customFormat="1" ht="27" customHeight="1" thickBot="1">
      <c r="A36" s="334" t="s">
        <v>58</v>
      </c>
      <c r="B36" s="335">
        <v>25</v>
      </c>
      <c r="C36" s="309"/>
      <c r="D36" s="539" t="s">
        <v>59</v>
      </c>
      <c r="E36" s="541"/>
      <c r="F36" s="539" t="s">
        <v>60</v>
      </c>
      <c r="G36" s="540"/>
      <c r="J36" s="324"/>
      <c r="K36" s="324"/>
      <c r="L36" s="329"/>
      <c r="M36" s="329"/>
      <c r="N36" s="330"/>
    </row>
    <row r="37" spans="1:14" s="323" customFormat="1" ht="27" customHeight="1" thickBot="1">
      <c r="A37" s="336" t="s">
        <v>61</v>
      </c>
      <c r="B37" s="337">
        <v>5</v>
      </c>
      <c r="C37" s="338" t="s">
        <v>62</v>
      </c>
      <c r="D37" s="339" t="s">
        <v>63</v>
      </c>
      <c r="E37" s="340" t="s">
        <v>64</v>
      </c>
      <c r="F37" s="339" t="s">
        <v>63</v>
      </c>
      <c r="G37" s="341" t="s">
        <v>64</v>
      </c>
      <c r="I37" s="342" t="s">
        <v>65</v>
      </c>
      <c r="J37" s="324"/>
      <c r="K37" s="324"/>
      <c r="L37" s="329"/>
      <c r="M37" s="329"/>
      <c r="N37" s="330"/>
    </row>
    <row r="38" spans="1:14" s="323" customFormat="1" ht="26.25" customHeight="1">
      <c r="A38" s="336" t="s">
        <v>66</v>
      </c>
      <c r="B38" s="337">
        <v>50</v>
      </c>
      <c r="C38" s="343">
        <v>1</v>
      </c>
      <c r="D38" s="344">
        <v>10391637</v>
      </c>
      <c r="E38" s="345">
        <f>IF(ISBLANK(D38),"-",$D$48/$D$45*D38)</f>
        <v>9445925.5728326347</v>
      </c>
      <c r="F38" s="344">
        <v>8974763</v>
      </c>
      <c r="G38" s="346">
        <f>IF(ISBLANK(F38),"-",$D$48/$F$45*F38)</f>
        <v>9188745.4502350781</v>
      </c>
      <c r="I38" s="347"/>
      <c r="J38" s="324"/>
      <c r="K38" s="324"/>
      <c r="L38" s="329"/>
      <c r="M38" s="329"/>
      <c r="N38" s="330"/>
    </row>
    <row r="39" spans="1:14" s="323" customFormat="1" ht="26.25" customHeight="1">
      <c r="A39" s="336" t="s">
        <v>67</v>
      </c>
      <c r="B39" s="337">
        <v>1</v>
      </c>
      <c r="C39" s="348">
        <v>2</v>
      </c>
      <c r="D39" s="349">
        <v>10372582</v>
      </c>
      <c r="E39" s="350">
        <f>IF(ISBLANK(D39),"-",$D$48/$D$45*D39)</f>
        <v>9428604.7107018344</v>
      </c>
      <c r="F39" s="349">
        <v>9042602</v>
      </c>
      <c r="G39" s="351">
        <f>IF(ISBLANK(F39),"-",$D$48/$F$45*F39)</f>
        <v>9258201.9141660482</v>
      </c>
      <c r="I39" s="521">
        <f>ABS((F43/D43*D42)-F42)/D42</f>
        <v>1.385656229130431E-2</v>
      </c>
      <c r="J39" s="324"/>
      <c r="K39" s="324"/>
      <c r="L39" s="329"/>
      <c r="M39" s="329"/>
      <c r="N39" s="330"/>
    </row>
    <row r="40" spans="1:14" ht="26.25" customHeight="1">
      <c r="A40" s="336" t="s">
        <v>68</v>
      </c>
      <c r="B40" s="337">
        <v>1</v>
      </c>
      <c r="C40" s="348">
        <v>3</v>
      </c>
      <c r="D40" s="349">
        <v>10253605</v>
      </c>
      <c r="E40" s="350">
        <f>IF(ISBLANK(D40),"-",$D$48/$D$45*D40)</f>
        <v>9320455.4473202415</v>
      </c>
      <c r="F40" s="349">
        <v>9091231</v>
      </c>
      <c r="G40" s="351">
        <f>IF(ISBLANK(F40),"-",$D$48/$F$45*F40)</f>
        <v>9307990.3601115812</v>
      </c>
      <c r="I40" s="521"/>
      <c r="L40" s="329"/>
      <c r="M40" s="329"/>
      <c r="N40" s="309"/>
    </row>
    <row r="41" spans="1:14" ht="27" customHeight="1" thickBot="1">
      <c r="A41" s="336" t="s">
        <v>69</v>
      </c>
      <c r="B41" s="337">
        <v>1</v>
      </c>
      <c r="C41" s="352">
        <v>4</v>
      </c>
      <c r="D41" s="353"/>
      <c r="E41" s="354" t="str">
        <f>IF(ISBLANK(D41),"-",$D$48/$D$45*D41)</f>
        <v>-</v>
      </c>
      <c r="F41" s="353"/>
      <c r="G41" s="355" t="str">
        <f>IF(ISBLANK(F41),"-",$D$48/$F$45*F41)</f>
        <v>-</v>
      </c>
      <c r="I41" s="356"/>
      <c r="L41" s="329"/>
      <c r="M41" s="329"/>
      <c r="N41" s="309"/>
    </row>
    <row r="42" spans="1:14" ht="27" customHeight="1" thickBot="1">
      <c r="A42" s="336" t="s">
        <v>70</v>
      </c>
      <c r="B42" s="337">
        <v>1</v>
      </c>
      <c r="C42" s="357" t="s">
        <v>71</v>
      </c>
      <c r="D42" s="358">
        <f>AVERAGE(D38:D41)</f>
        <v>10339274.666666666</v>
      </c>
      <c r="E42" s="359">
        <f>AVERAGE(E38:E41)</f>
        <v>9398328.5769515689</v>
      </c>
      <c r="F42" s="358">
        <f>AVERAGE(F38:F41)</f>
        <v>9036198.666666666</v>
      </c>
      <c r="G42" s="360">
        <f>AVERAGE(G38:G41)</f>
        <v>9251645.9081709012</v>
      </c>
      <c r="H42" s="361"/>
    </row>
    <row r="43" spans="1:14" ht="26.25" customHeight="1">
      <c r="A43" s="336" t="s">
        <v>72</v>
      </c>
      <c r="B43" s="337">
        <v>1</v>
      </c>
      <c r="C43" s="362" t="s">
        <v>73</v>
      </c>
      <c r="D43" s="363">
        <v>21.93</v>
      </c>
      <c r="E43" s="309"/>
      <c r="F43" s="363">
        <v>19.47</v>
      </c>
      <c r="H43" s="361"/>
    </row>
    <row r="44" spans="1:14" ht="26.25" customHeight="1">
      <c r="A44" s="336" t="s">
        <v>74</v>
      </c>
      <c r="B44" s="337">
        <v>1</v>
      </c>
      <c r="C44" s="364" t="s">
        <v>75</v>
      </c>
      <c r="D44" s="365">
        <f>D43*$B$34</f>
        <v>21.93</v>
      </c>
      <c r="E44" s="366"/>
      <c r="F44" s="365">
        <f>F43*$B$34</f>
        <v>19.47</v>
      </c>
      <c r="H44" s="361"/>
    </row>
    <row r="45" spans="1:14" ht="19.5" customHeight="1" thickBot="1">
      <c r="A45" s="336" t="s">
        <v>76</v>
      </c>
      <c r="B45" s="348">
        <f>(B44/B43)*(B42/B41)*(B40/B39)*(B38/B37)*B36</f>
        <v>250</v>
      </c>
      <c r="C45" s="364" t="s">
        <v>77</v>
      </c>
      <c r="D45" s="367">
        <f>D44*$B$30/100</f>
        <v>22.002368999999998</v>
      </c>
      <c r="E45" s="368"/>
      <c r="F45" s="367">
        <f>F44*$B$30/100</f>
        <v>19.534250999999998</v>
      </c>
      <c r="H45" s="361"/>
    </row>
    <row r="46" spans="1:14" ht="19.5" customHeight="1" thickBot="1">
      <c r="A46" s="522" t="s">
        <v>78</v>
      </c>
      <c r="B46" s="526"/>
      <c r="C46" s="364" t="s">
        <v>79</v>
      </c>
      <c r="D46" s="369">
        <f>D45/$B$45</f>
        <v>8.8009475999999989E-2</v>
      </c>
      <c r="E46" s="370"/>
      <c r="F46" s="371">
        <f>F45/$B$45</f>
        <v>7.8137003999999996E-2</v>
      </c>
      <c r="H46" s="361"/>
    </row>
    <row r="47" spans="1:14" ht="27" customHeight="1" thickBot="1">
      <c r="A47" s="524"/>
      <c r="B47" s="527"/>
      <c r="C47" s="372" t="s">
        <v>80</v>
      </c>
      <c r="D47" s="373">
        <v>0.08</v>
      </c>
      <c r="E47" s="374"/>
      <c r="F47" s="370"/>
      <c r="H47" s="361"/>
    </row>
    <row r="48" spans="1:14" ht="18.75">
      <c r="C48" s="375" t="s">
        <v>81</v>
      </c>
      <c r="D48" s="367">
        <f>D47*$B$45</f>
        <v>20</v>
      </c>
      <c r="F48" s="376"/>
      <c r="H48" s="361"/>
    </row>
    <row r="49" spans="1:12" ht="19.5" customHeight="1" thickBot="1">
      <c r="C49" s="377" t="s">
        <v>82</v>
      </c>
      <c r="D49" s="378">
        <f>D48/B34</f>
        <v>20</v>
      </c>
      <c r="F49" s="376"/>
      <c r="H49" s="361"/>
    </row>
    <row r="50" spans="1:12" ht="18.75">
      <c r="C50" s="334" t="s">
        <v>83</v>
      </c>
      <c r="D50" s="379">
        <f>AVERAGE(E38:E41,G38:G41)</f>
        <v>9324987.242561236</v>
      </c>
      <c r="F50" s="380"/>
      <c r="H50" s="361"/>
    </row>
    <row r="51" spans="1:12" ht="18.75">
      <c r="C51" s="336" t="s">
        <v>84</v>
      </c>
      <c r="D51" s="381">
        <f>STDEV(E38:E41,G38:G41)/D50</f>
        <v>1.0582916128634969E-2</v>
      </c>
      <c r="F51" s="380"/>
      <c r="H51" s="361"/>
    </row>
    <row r="52" spans="1:12" ht="19.5" customHeight="1" thickBot="1">
      <c r="C52" s="382" t="s">
        <v>20</v>
      </c>
      <c r="D52" s="383">
        <f>COUNT(E38:E41,G38:G41)</f>
        <v>6</v>
      </c>
      <c r="F52" s="380"/>
    </row>
    <row r="54" spans="1:12" ht="18.75">
      <c r="A54" s="384" t="s">
        <v>1</v>
      </c>
      <c r="B54" s="385" t="s">
        <v>85</v>
      </c>
    </row>
    <row r="55" spans="1:12" ht="18.75">
      <c r="A55" s="309" t="s">
        <v>86</v>
      </c>
      <c r="B55" s="386" t="str">
        <f>B21</f>
        <v>Each  dispersible tablet contains: Rifampicin BP 75 mg and Isoniazid BP 50 mg.</v>
      </c>
    </row>
    <row r="56" spans="1:12" ht="26.25" customHeight="1">
      <c r="A56" s="386" t="s">
        <v>87</v>
      </c>
      <c r="B56" s="387">
        <v>50</v>
      </c>
      <c r="C56" s="309" t="str">
        <f>B20</f>
        <v>, Isoniazid</v>
      </c>
      <c r="H56" s="366"/>
    </row>
    <row r="57" spans="1:12" ht="18.75">
      <c r="A57" s="386" t="s">
        <v>88</v>
      </c>
      <c r="B57" s="388">
        <f>Uniformity!C46</f>
        <v>481.69849999999997</v>
      </c>
      <c r="H57" s="366"/>
    </row>
    <row r="58" spans="1:12" ht="19.5" customHeight="1" thickBot="1">
      <c r="H58" s="366"/>
    </row>
    <row r="59" spans="1:12" s="323" customFormat="1" ht="27" customHeight="1" thickBot="1">
      <c r="A59" s="334" t="s">
        <v>89</v>
      </c>
      <c r="B59" s="335">
        <v>50</v>
      </c>
      <c r="C59" s="309"/>
      <c r="D59" s="389" t="s">
        <v>90</v>
      </c>
      <c r="E59" s="390" t="s">
        <v>62</v>
      </c>
      <c r="F59" s="390" t="s">
        <v>63</v>
      </c>
      <c r="G59" s="390" t="s">
        <v>91</v>
      </c>
      <c r="H59" s="338" t="s">
        <v>92</v>
      </c>
      <c r="L59" s="324"/>
    </row>
    <row r="60" spans="1:12" s="323" customFormat="1" ht="26.25" customHeight="1">
      <c r="A60" s="336" t="s">
        <v>93</v>
      </c>
      <c r="B60" s="337">
        <v>4</v>
      </c>
      <c r="C60" s="542" t="s">
        <v>94</v>
      </c>
      <c r="D60" s="504">
        <v>244.93</v>
      </c>
      <c r="E60" s="391">
        <v>1</v>
      </c>
      <c r="F60" s="392">
        <v>11047346</v>
      </c>
      <c r="G60" s="393">
        <f>IF(ISBLANK(F60),"-",(F60/$D$50*$D$47*$B$68)*($B$57/$D$60))</f>
        <v>46.598615876072337</v>
      </c>
      <c r="H60" s="394">
        <f t="shared" ref="H60:H71" si="0">IF(ISBLANK(F60),"-",(G60/$B$56)*100)</f>
        <v>93.197231752144674</v>
      </c>
      <c r="L60" s="324"/>
    </row>
    <row r="61" spans="1:12" s="323" customFormat="1" ht="26.25" customHeight="1">
      <c r="A61" s="336" t="s">
        <v>95</v>
      </c>
      <c r="B61" s="337">
        <v>20</v>
      </c>
      <c r="C61" s="543"/>
      <c r="D61" s="505"/>
      <c r="E61" s="395">
        <v>2</v>
      </c>
      <c r="F61" s="349">
        <v>11137511</v>
      </c>
      <c r="G61" s="396">
        <f>IF(ISBLANK(F61),"-",(F61/$D$50*$D$47*$B$68)*($B$57/$D$60))</f>
        <v>46.978939276866164</v>
      </c>
      <c r="H61" s="397">
        <f t="shared" si="0"/>
        <v>93.957878553732328</v>
      </c>
      <c r="L61" s="324"/>
    </row>
    <row r="62" spans="1:12" s="323" customFormat="1" ht="26.25" customHeight="1">
      <c r="A62" s="336" t="s">
        <v>96</v>
      </c>
      <c r="B62" s="337">
        <v>1</v>
      </c>
      <c r="C62" s="543"/>
      <c r="D62" s="505"/>
      <c r="E62" s="395">
        <v>3</v>
      </c>
      <c r="F62" s="398">
        <v>11214583</v>
      </c>
      <c r="G62" s="396">
        <f>IF(ISBLANK(F62),"-",(F62/$D$50*$D$47*$B$68)*($B$57/$D$60))</f>
        <v>47.304035324622845</v>
      </c>
      <c r="H62" s="397">
        <f t="shared" si="0"/>
        <v>94.60807064924569</v>
      </c>
      <c r="L62" s="324"/>
    </row>
    <row r="63" spans="1:12" ht="27" customHeight="1" thickBot="1">
      <c r="A63" s="336" t="s">
        <v>97</v>
      </c>
      <c r="B63" s="337">
        <v>1</v>
      </c>
      <c r="C63" s="544"/>
      <c r="D63" s="506"/>
      <c r="E63" s="399">
        <v>4</v>
      </c>
      <c r="F63" s="400"/>
      <c r="G63" s="396" t="str">
        <f>IF(ISBLANK(F63),"-",(F63/$D$50*$D$47*$B$68)*($B$57/$D$60))</f>
        <v>-</v>
      </c>
      <c r="H63" s="397" t="str">
        <f t="shared" si="0"/>
        <v>-</v>
      </c>
    </row>
    <row r="64" spans="1:12" ht="26.25" customHeight="1">
      <c r="A64" s="336" t="s">
        <v>98</v>
      </c>
      <c r="B64" s="337">
        <v>1</v>
      </c>
      <c r="C64" s="542" t="s">
        <v>99</v>
      </c>
      <c r="D64" s="504">
        <v>236.85</v>
      </c>
      <c r="E64" s="391">
        <v>1</v>
      </c>
      <c r="F64" s="392">
        <v>10984235</v>
      </c>
      <c r="G64" s="393">
        <f>IF(ISBLANK(F64),"-",(F64/$D$50*$D$47*$B$68)*($B$57/$D$64))</f>
        <v>47.913011645531185</v>
      </c>
      <c r="H64" s="394">
        <f t="shared" si="0"/>
        <v>95.82602329106237</v>
      </c>
    </row>
    <row r="65" spans="1:8" ht="26.25" customHeight="1">
      <c r="A65" s="336" t="s">
        <v>100</v>
      </c>
      <c r="B65" s="337">
        <v>1</v>
      </c>
      <c r="C65" s="543"/>
      <c r="D65" s="505"/>
      <c r="E65" s="395">
        <v>2</v>
      </c>
      <c r="F65" s="349">
        <v>11115707</v>
      </c>
      <c r="G65" s="396">
        <f>IF(ISBLANK(F65),"-",(F65/$D$50*$D$47*$B$68)*($B$57/$D$64))</f>
        <v>48.486489859267621</v>
      </c>
      <c r="H65" s="397">
        <f t="shared" si="0"/>
        <v>96.972979718535242</v>
      </c>
    </row>
    <row r="66" spans="1:8" ht="26.25" customHeight="1">
      <c r="A66" s="336" t="s">
        <v>101</v>
      </c>
      <c r="B66" s="337">
        <v>1</v>
      </c>
      <c r="C66" s="543"/>
      <c r="D66" s="505"/>
      <c r="E66" s="395">
        <v>3</v>
      </c>
      <c r="F66" s="349">
        <v>10963509</v>
      </c>
      <c r="G66" s="396">
        <f>IF(ISBLANK(F66),"-",(F66/$D$50*$D$47*$B$68)*($B$57/$D$64))</f>
        <v>47.822605251333925</v>
      </c>
      <c r="H66" s="397">
        <f t="shared" si="0"/>
        <v>95.645210502667851</v>
      </c>
    </row>
    <row r="67" spans="1:8" ht="27" customHeight="1" thickBot="1">
      <c r="A67" s="336" t="s">
        <v>102</v>
      </c>
      <c r="B67" s="337">
        <v>1</v>
      </c>
      <c r="C67" s="544"/>
      <c r="D67" s="506"/>
      <c r="E67" s="399">
        <v>4</v>
      </c>
      <c r="F67" s="400"/>
      <c r="G67" s="401" t="str">
        <f>IF(ISBLANK(F67),"-",(F67/$D$50*$D$47*$B$68)*($B$57/$D$64))</f>
        <v>-</v>
      </c>
      <c r="H67" s="402" t="str">
        <f t="shared" si="0"/>
        <v>-</v>
      </c>
    </row>
    <row r="68" spans="1:8" ht="26.25" customHeight="1">
      <c r="A68" s="336" t="s">
        <v>103</v>
      </c>
      <c r="B68" s="403">
        <f>(B67/B66)*(B65/B64)*(B63/B62)*(B61/B60)*B59</f>
        <v>250</v>
      </c>
      <c r="C68" s="542" t="s">
        <v>104</v>
      </c>
      <c r="D68" s="504">
        <v>242.7</v>
      </c>
      <c r="E68" s="391">
        <v>1</v>
      </c>
      <c r="F68" s="392"/>
      <c r="G68" s="393" t="str">
        <f>IF(ISBLANK(F68),"-",(F68/$D$50*$D$47*$B$68)*($B$57/$D$68))</f>
        <v>-</v>
      </c>
      <c r="H68" s="397" t="str">
        <f t="shared" si="0"/>
        <v>-</v>
      </c>
    </row>
    <row r="69" spans="1:8" ht="27" customHeight="1" thickBot="1">
      <c r="A69" s="382" t="s">
        <v>105</v>
      </c>
      <c r="B69" s="404">
        <f>(D47*B68)/B56*B57</f>
        <v>192.67939999999999</v>
      </c>
      <c r="C69" s="543"/>
      <c r="D69" s="505"/>
      <c r="E69" s="395">
        <v>2</v>
      </c>
      <c r="F69" s="349"/>
      <c r="G69" s="396" t="str">
        <f>IF(ISBLANK(F69),"-",(F69/$D$50*$D$47*$B$68)*($B$57/$D$68))</f>
        <v>-</v>
      </c>
      <c r="H69" s="397" t="str">
        <f t="shared" si="0"/>
        <v>-</v>
      </c>
    </row>
    <row r="70" spans="1:8" ht="26.25" customHeight="1">
      <c r="A70" s="546" t="s">
        <v>78</v>
      </c>
      <c r="B70" s="547"/>
      <c r="C70" s="543"/>
      <c r="D70" s="505"/>
      <c r="E70" s="395">
        <v>3</v>
      </c>
      <c r="F70" s="349"/>
      <c r="G70" s="396" t="str">
        <f>IF(ISBLANK(F70),"-",(F70/$D$50*$D$47*$B$68)*($B$57/$D$68))</f>
        <v>-</v>
      </c>
      <c r="H70" s="397" t="str">
        <f t="shared" si="0"/>
        <v>-</v>
      </c>
    </row>
    <row r="71" spans="1:8" ht="27" customHeight="1" thickBot="1">
      <c r="A71" s="548"/>
      <c r="B71" s="549"/>
      <c r="C71" s="545"/>
      <c r="D71" s="506"/>
      <c r="E71" s="399">
        <v>4</v>
      </c>
      <c r="F71" s="400"/>
      <c r="G71" s="401" t="str">
        <f>IF(ISBLANK(F71),"-",(F71/$D$50*$D$47*$B$68)*($B$57/$D$68))</f>
        <v>-</v>
      </c>
      <c r="H71" s="402" t="str">
        <f t="shared" si="0"/>
        <v>-</v>
      </c>
    </row>
    <row r="72" spans="1:8" ht="26.25" customHeight="1">
      <c r="A72" s="366"/>
      <c r="B72" s="366"/>
      <c r="C72" s="366"/>
      <c r="D72" s="366"/>
      <c r="E72" s="366"/>
      <c r="F72" s="405" t="s">
        <v>71</v>
      </c>
      <c r="G72" s="406">
        <f>AVERAGE(G60:G71)</f>
        <v>47.517282872282351</v>
      </c>
      <c r="H72" s="407">
        <f>AVERAGE(H60:H71)</f>
        <v>95.034565744564702</v>
      </c>
    </row>
    <row r="73" spans="1:8" ht="26.25" customHeight="1">
      <c r="C73" s="366"/>
      <c r="D73" s="366"/>
      <c r="E73" s="366"/>
      <c r="F73" s="408" t="s">
        <v>84</v>
      </c>
      <c r="G73" s="409">
        <f>STDEV(G60:G71)/G72</f>
        <v>1.4484149428618339E-2</v>
      </c>
      <c r="H73" s="409">
        <f>STDEV(H60:H71)/H72</f>
        <v>1.4484149428618339E-2</v>
      </c>
    </row>
    <row r="74" spans="1:8" ht="27" customHeight="1" thickBot="1">
      <c r="A74" s="366"/>
      <c r="B74" s="366"/>
      <c r="C74" s="366"/>
      <c r="D74" s="366"/>
      <c r="E74" s="368"/>
      <c r="F74" s="410" t="s">
        <v>20</v>
      </c>
      <c r="G74" s="411">
        <f>COUNT(G60:G71)</f>
        <v>6</v>
      </c>
      <c r="H74" s="411">
        <f>COUNT(H60:H71)</f>
        <v>6</v>
      </c>
    </row>
    <row r="76" spans="1:8" ht="26.25" customHeight="1">
      <c r="A76" s="319" t="s">
        <v>106</v>
      </c>
      <c r="B76" s="320" t="s">
        <v>107</v>
      </c>
      <c r="C76" s="530" t="str">
        <f>B26</f>
        <v>ISONIAZID</v>
      </c>
      <c r="D76" s="530"/>
      <c r="E76" s="309" t="s">
        <v>108</v>
      </c>
      <c r="F76" s="309"/>
      <c r="G76" s="412">
        <f>H72</f>
        <v>95.034565744564702</v>
      </c>
      <c r="H76" s="325"/>
    </row>
    <row r="77" spans="1:8" ht="18.75">
      <c r="A77" s="318" t="s">
        <v>109</v>
      </c>
      <c r="B77" s="318" t="s">
        <v>110</v>
      </c>
    </row>
    <row r="78" spans="1:8" ht="18.75">
      <c r="A78" s="318"/>
      <c r="B78" s="318"/>
    </row>
    <row r="79" spans="1:8" ht="26.25" customHeight="1">
      <c r="A79" s="319" t="s">
        <v>4</v>
      </c>
      <c r="B79" s="532"/>
      <c r="C79" s="532"/>
    </row>
    <row r="80" spans="1:8" ht="26.25" customHeight="1">
      <c r="A80" s="320" t="s">
        <v>48</v>
      </c>
      <c r="B80" s="532"/>
      <c r="C80" s="532"/>
    </row>
    <row r="81" spans="1:12" ht="27" customHeight="1" thickBot="1">
      <c r="A81" s="320" t="s">
        <v>6</v>
      </c>
      <c r="B81" s="321"/>
    </row>
    <row r="82" spans="1:12" s="323" customFormat="1" ht="27" customHeight="1" thickBot="1">
      <c r="A82" s="320" t="s">
        <v>49</v>
      </c>
      <c r="B82" s="322">
        <v>0</v>
      </c>
      <c r="C82" s="533" t="s">
        <v>50</v>
      </c>
      <c r="D82" s="534"/>
      <c r="E82" s="534"/>
      <c r="F82" s="534"/>
      <c r="G82" s="535"/>
      <c r="I82" s="324"/>
      <c r="J82" s="324"/>
      <c r="K82" s="324"/>
      <c r="L82" s="324"/>
    </row>
    <row r="83" spans="1:12" s="323" customFormat="1" ht="19.5" customHeight="1" thickBot="1">
      <c r="A83" s="320" t="s">
        <v>51</v>
      </c>
      <c r="B83" s="325">
        <f>B81-B82</f>
        <v>0</v>
      </c>
      <c r="C83" s="326"/>
      <c r="D83" s="326"/>
      <c r="E83" s="326"/>
      <c r="F83" s="326"/>
      <c r="G83" s="327"/>
      <c r="I83" s="324"/>
      <c r="J83" s="324"/>
      <c r="K83" s="324"/>
      <c r="L83" s="324"/>
    </row>
    <row r="84" spans="1:12" s="323" customFormat="1" ht="27" customHeight="1" thickBot="1">
      <c r="A84" s="320" t="s">
        <v>52</v>
      </c>
      <c r="B84" s="328"/>
      <c r="C84" s="536" t="s">
        <v>111</v>
      </c>
      <c r="D84" s="537"/>
      <c r="E84" s="537"/>
      <c r="F84" s="537"/>
      <c r="G84" s="537"/>
      <c r="H84" s="538"/>
      <c r="I84" s="324"/>
      <c r="J84" s="324"/>
      <c r="K84" s="324"/>
      <c r="L84" s="324"/>
    </row>
    <row r="85" spans="1:12" s="323" customFormat="1" ht="27" customHeight="1" thickBot="1">
      <c r="A85" s="320" t="s">
        <v>54</v>
      </c>
      <c r="B85" s="328"/>
      <c r="C85" s="536" t="s">
        <v>112</v>
      </c>
      <c r="D85" s="537"/>
      <c r="E85" s="537"/>
      <c r="F85" s="537"/>
      <c r="G85" s="537"/>
      <c r="H85" s="538"/>
      <c r="I85" s="324"/>
      <c r="J85" s="324"/>
      <c r="K85" s="324"/>
      <c r="L85" s="324"/>
    </row>
    <row r="86" spans="1:12" s="323" customFormat="1" ht="18.75">
      <c r="A86" s="320"/>
      <c r="B86" s="331"/>
      <c r="C86" s="332"/>
      <c r="D86" s="332"/>
      <c r="E86" s="332"/>
      <c r="F86" s="332"/>
      <c r="G86" s="332"/>
      <c r="H86" s="332"/>
      <c r="I86" s="324"/>
      <c r="J86" s="324"/>
      <c r="K86" s="324"/>
      <c r="L86" s="324"/>
    </row>
    <row r="87" spans="1:12" s="323" customFormat="1" ht="18.75">
      <c r="A87" s="320" t="s">
        <v>56</v>
      </c>
      <c r="B87" s="333" t="e">
        <f>B84/B85</f>
        <v>#DIV/0!</v>
      </c>
      <c r="C87" s="309" t="s">
        <v>57</v>
      </c>
      <c r="D87" s="309"/>
      <c r="E87" s="309"/>
      <c r="F87" s="309"/>
      <c r="G87" s="309"/>
      <c r="I87" s="324"/>
      <c r="J87" s="324"/>
      <c r="K87" s="324"/>
      <c r="L87" s="324"/>
    </row>
    <row r="88" spans="1:12" ht="19.5" customHeight="1" thickBot="1">
      <c r="A88" s="318"/>
      <c r="B88" s="318"/>
    </row>
    <row r="89" spans="1:12" ht="27" customHeight="1" thickBot="1">
      <c r="A89" s="334" t="s">
        <v>58</v>
      </c>
      <c r="B89" s="335"/>
      <c r="D89" s="413" t="s">
        <v>59</v>
      </c>
      <c r="E89" s="414"/>
      <c r="F89" s="539" t="s">
        <v>60</v>
      </c>
      <c r="G89" s="540"/>
    </row>
    <row r="90" spans="1:12" ht="27" customHeight="1" thickBot="1">
      <c r="A90" s="336" t="s">
        <v>61</v>
      </c>
      <c r="B90" s="337"/>
      <c r="C90" s="415" t="s">
        <v>62</v>
      </c>
      <c r="D90" s="339" t="s">
        <v>63</v>
      </c>
      <c r="E90" s="340" t="s">
        <v>64</v>
      </c>
      <c r="F90" s="339" t="s">
        <v>63</v>
      </c>
      <c r="G90" s="416" t="s">
        <v>64</v>
      </c>
      <c r="I90" s="342" t="s">
        <v>65</v>
      </c>
    </row>
    <row r="91" spans="1:12" ht="26.25" customHeight="1">
      <c r="A91" s="336" t="s">
        <v>66</v>
      </c>
      <c r="B91" s="337"/>
      <c r="C91" s="417">
        <v>1</v>
      </c>
      <c r="D91" s="344"/>
      <c r="E91" s="345" t="str">
        <f>IF(ISBLANK(D91),"-",$D$101/$D$98*D91)</f>
        <v>-</v>
      </c>
      <c r="F91" s="344"/>
      <c r="G91" s="346" t="str">
        <f>IF(ISBLANK(F91),"-",$D$101/$F$98*F91)</f>
        <v>-</v>
      </c>
      <c r="I91" s="347"/>
    </row>
    <row r="92" spans="1:12" ht="26.25" customHeight="1">
      <c r="A92" s="336" t="s">
        <v>67</v>
      </c>
      <c r="B92" s="337">
        <v>1</v>
      </c>
      <c r="C92" s="366">
        <v>2</v>
      </c>
      <c r="D92" s="349"/>
      <c r="E92" s="350" t="str">
        <f>IF(ISBLANK(D92),"-",$D$101/$D$98*D92)</f>
        <v>-</v>
      </c>
      <c r="F92" s="349"/>
      <c r="G92" s="351" t="str">
        <f>IF(ISBLANK(F92),"-",$D$101/$F$98*F92)</f>
        <v>-</v>
      </c>
      <c r="I92" s="521" t="e">
        <f>ABS((F96/D96*D95)-F95)/D95</f>
        <v>#DIV/0!</v>
      </c>
    </row>
    <row r="93" spans="1:12" ht="26.25" customHeight="1">
      <c r="A93" s="336" t="s">
        <v>68</v>
      </c>
      <c r="B93" s="337">
        <v>1</v>
      </c>
      <c r="C93" s="366">
        <v>3</v>
      </c>
      <c r="D93" s="349"/>
      <c r="E93" s="350" t="str">
        <f>IF(ISBLANK(D93),"-",$D$101/$D$98*D93)</f>
        <v>-</v>
      </c>
      <c r="F93" s="349"/>
      <c r="G93" s="351" t="str">
        <f>IF(ISBLANK(F93),"-",$D$101/$F$98*F93)</f>
        <v>-</v>
      </c>
      <c r="I93" s="521"/>
    </row>
    <row r="94" spans="1:12" ht="27" customHeight="1" thickBot="1">
      <c r="A94" s="336" t="s">
        <v>69</v>
      </c>
      <c r="B94" s="337">
        <v>1</v>
      </c>
      <c r="C94" s="418">
        <v>4</v>
      </c>
      <c r="D94" s="353"/>
      <c r="E94" s="354" t="str">
        <f>IF(ISBLANK(D94),"-",$D$101/$D$98*D94)</f>
        <v>-</v>
      </c>
      <c r="F94" s="419"/>
      <c r="G94" s="355" t="str">
        <f>IF(ISBLANK(F94),"-",$D$101/$F$98*F94)</f>
        <v>-</v>
      </c>
      <c r="I94" s="356"/>
    </row>
    <row r="95" spans="1:12" ht="27" customHeight="1" thickBot="1">
      <c r="A95" s="336" t="s">
        <v>70</v>
      </c>
      <c r="B95" s="337">
        <v>1</v>
      </c>
      <c r="C95" s="320" t="s">
        <v>71</v>
      </c>
      <c r="D95" s="420" t="e">
        <f>AVERAGE(D91:D94)</f>
        <v>#DIV/0!</v>
      </c>
      <c r="E95" s="359" t="e">
        <f>AVERAGE(E91:E94)</f>
        <v>#DIV/0!</v>
      </c>
      <c r="F95" s="421" t="e">
        <f>AVERAGE(F91:F94)</f>
        <v>#DIV/0!</v>
      </c>
      <c r="G95" s="422" t="e">
        <f>AVERAGE(G91:G94)</f>
        <v>#DIV/0!</v>
      </c>
    </row>
    <row r="96" spans="1:12" ht="26.25" customHeight="1">
      <c r="A96" s="336" t="s">
        <v>72</v>
      </c>
      <c r="B96" s="321">
        <v>1</v>
      </c>
      <c r="C96" s="423" t="s">
        <v>113</v>
      </c>
      <c r="D96" s="424"/>
      <c r="E96" s="309"/>
      <c r="F96" s="363"/>
    </row>
    <row r="97" spans="1:10" ht="26.25" customHeight="1">
      <c r="A97" s="336" t="s">
        <v>74</v>
      </c>
      <c r="B97" s="321">
        <v>1</v>
      </c>
      <c r="C97" s="425" t="s">
        <v>114</v>
      </c>
      <c r="D97" s="426" t="e">
        <f>D96*$B$87</f>
        <v>#DIV/0!</v>
      </c>
      <c r="E97" s="366"/>
      <c r="F97" s="365" t="e">
        <f>F96*$B$87</f>
        <v>#DIV/0!</v>
      </c>
    </row>
    <row r="98" spans="1:10" ht="19.5" customHeight="1" thickBot="1">
      <c r="A98" s="336" t="s">
        <v>76</v>
      </c>
      <c r="B98" s="366" t="e">
        <f>(B97/B96)*(B95/B94)*(B93/B92)*(B91/B90)*B89</f>
        <v>#DIV/0!</v>
      </c>
      <c r="C98" s="425" t="s">
        <v>115</v>
      </c>
      <c r="D98" s="427" t="e">
        <f>D97*$B$83/100</f>
        <v>#DIV/0!</v>
      </c>
      <c r="E98" s="368"/>
      <c r="F98" s="367" t="e">
        <f>F97*$B$83/100</f>
        <v>#DIV/0!</v>
      </c>
    </row>
    <row r="99" spans="1:10" ht="19.5" customHeight="1" thickBot="1">
      <c r="A99" s="522" t="s">
        <v>78</v>
      </c>
      <c r="B99" s="523"/>
      <c r="C99" s="425" t="s">
        <v>116</v>
      </c>
      <c r="D99" s="428" t="e">
        <f>D98/$B$98</f>
        <v>#DIV/0!</v>
      </c>
      <c r="E99" s="368"/>
      <c r="F99" s="371" t="e">
        <f>F98/$B$98</f>
        <v>#DIV/0!</v>
      </c>
      <c r="H99" s="361"/>
    </row>
    <row r="100" spans="1:10" ht="19.5" customHeight="1" thickBot="1">
      <c r="A100" s="524"/>
      <c r="B100" s="525"/>
      <c r="C100" s="425" t="s">
        <v>80</v>
      </c>
      <c r="D100" s="429" t="e">
        <f>$B$56/$B$116</f>
        <v>#DIV/0!</v>
      </c>
      <c r="F100" s="376"/>
      <c r="G100" s="430"/>
      <c r="H100" s="361"/>
    </row>
    <row r="101" spans="1:10" ht="18.75">
      <c r="C101" s="425" t="s">
        <v>81</v>
      </c>
      <c r="D101" s="426" t="e">
        <f>D100*$B$98</f>
        <v>#DIV/0!</v>
      </c>
      <c r="F101" s="376"/>
      <c r="H101" s="361"/>
    </row>
    <row r="102" spans="1:10" ht="19.5" customHeight="1" thickBot="1">
      <c r="C102" s="431" t="s">
        <v>82</v>
      </c>
      <c r="D102" s="432" t="e">
        <f>D101/B34</f>
        <v>#DIV/0!</v>
      </c>
      <c r="F102" s="380"/>
      <c r="H102" s="361"/>
      <c r="J102" s="433"/>
    </row>
    <row r="103" spans="1:10" ht="18.75">
      <c r="C103" s="434" t="s">
        <v>117</v>
      </c>
      <c r="D103" s="435" t="e">
        <f>AVERAGE(E91:E94,G91:G94)</f>
        <v>#DIV/0!</v>
      </c>
      <c r="F103" s="380"/>
      <c r="G103" s="430"/>
      <c r="H103" s="361"/>
      <c r="J103" s="436"/>
    </row>
    <row r="104" spans="1:10" ht="18.75">
      <c r="C104" s="408" t="s">
        <v>84</v>
      </c>
      <c r="D104" s="437" t="e">
        <f>STDEV(E91:E94,G91:G94)/D103</f>
        <v>#DIV/0!</v>
      </c>
      <c r="F104" s="380"/>
      <c r="H104" s="361"/>
      <c r="J104" s="436"/>
    </row>
    <row r="105" spans="1:10" ht="19.5" customHeight="1" thickBot="1">
      <c r="C105" s="410" t="s">
        <v>20</v>
      </c>
      <c r="D105" s="438">
        <f>COUNT(E91:E94,G91:G94)</f>
        <v>0</v>
      </c>
      <c r="F105" s="380"/>
      <c r="H105" s="361"/>
      <c r="J105" s="436"/>
    </row>
    <row r="106" spans="1:10" ht="19.5" customHeight="1" thickBot="1">
      <c r="A106" s="384"/>
      <c r="B106" s="384"/>
      <c r="C106" s="384"/>
      <c r="D106" s="384"/>
      <c r="E106" s="384"/>
    </row>
    <row r="107" spans="1:10" ht="27" customHeight="1" thickBot="1">
      <c r="A107" s="334" t="s">
        <v>118</v>
      </c>
      <c r="B107" s="335"/>
      <c r="C107" s="390" t="s">
        <v>119</v>
      </c>
      <c r="D107" s="390" t="s">
        <v>63</v>
      </c>
      <c r="E107" s="390" t="s">
        <v>120</v>
      </c>
      <c r="F107" s="439" t="s">
        <v>121</v>
      </c>
    </row>
    <row r="108" spans="1:10" ht="26.25" customHeight="1">
      <c r="A108" s="336" t="s">
        <v>122</v>
      </c>
      <c r="B108" s="337"/>
      <c r="C108" s="391">
        <v>1</v>
      </c>
      <c r="D108" s="440"/>
      <c r="E108" s="441" t="str">
        <f t="shared" ref="E108:E113" si="1">IF(ISBLANK(D108),"-",D108/$D$103*$D$100*$B$116)</f>
        <v>-</v>
      </c>
      <c r="F108" s="442" t="str">
        <f t="shared" ref="F108:F113" si="2">IF(ISBLANK(D108), "-", (E108/$B$56)*100)</f>
        <v>-</v>
      </c>
    </row>
    <row r="109" spans="1:10" ht="26.25" customHeight="1">
      <c r="A109" s="336" t="s">
        <v>95</v>
      </c>
      <c r="B109" s="337"/>
      <c r="C109" s="395">
        <v>2</v>
      </c>
      <c r="D109" s="443"/>
      <c r="E109" s="444" t="str">
        <f t="shared" si="1"/>
        <v>-</v>
      </c>
      <c r="F109" s="445" t="str">
        <f t="shared" si="2"/>
        <v>-</v>
      </c>
    </row>
    <row r="110" spans="1:10" ht="26.25" customHeight="1">
      <c r="A110" s="336" t="s">
        <v>96</v>
      </c>
      <c r="B110" s="337">
        <v>1</v>
      </c>
      <c r="C110" s="395">
        <v>3</v>
      </c>
      <c r="D110" s="443"/>
      <c r="E110" s="444" t="str">
        <f t="shared" si="1"/>
        <v>-</v>
      </c>
      <c r="F110" s="445" t="str">
        <f t="shared" si="2"/>
        <v>-</v>
      </c>
    </row>
    <row r="111" spans="1:10" ht="26.25" customHeight="1">
      <c r="A111" s="336" t="s">
        <v>97</v>
      </c>
      <c r="B111" s="337">
        <v>1</v>
      </c>
      <c r="C111" s="395">
        <v>4</v>
      </c>
      <c r="D111" s="443"/>
      <c r="E111" s="444" t="str">
        <f t="shared" si="1"/>
        <v>-</v>
      </c>
      <c r="F111" s="445" t="str">
        <f t="shared" si="2"/>
        <v>-</v>
      </c>
    </row>
    <row r="112" spans="1:10" ht="26.25" customHeight="1">
      <c r="A112" s="336" t="s">
        <v>98</v>
      </c>
      <c r="B112" s="337">
        <v>1</v>
      </c>
      <c r="C112" s="395">
        <v>5</v>
      </c>
      <c r="D112" s="443"/>
      <c r="E112" s="444" t="str">
        <f t="shared" si="1"/>
        <v>-</v>
      </c>
      <c r="F112" s="445" t="str">
        <f t="shared" si="2"/>
        <v>-</v>
      </c>
    </row>
    <row r="113" spans="1:10" ht="27" customHeight="1" thickBot="1">
      <c r="A113" s="336" t="s">
        <v>100</v>
      </c>
      <c r="B113" s="337">
        <v>1</v>
      </c>
      <c r="C113" s="399">
        <v>6</v>
      </c>
      <c r="D113" s="446"/>
      <c r="E113" s="447" t="str">
        <f t="shared" si="1"/>
        <v>-</v>
      </c>
      <c r="F113" s="448" t="str">
        <f t="shared" si="2"/>
        <v>-</v>
      </c>
    </row>
    <row r="114" spans="1:10" ht="27" customHeight="1" thickBot="1">
      <c r="A114" s="336" t="s">
        <v>101</v>
      </c>
      <c r="B114" s="337">
        <v>1</v>
      </c>
      <c r="C114" s="449"/>
      <c r="D114" s="366"/>
      <c r="E114" s="309"/>
      <c r="F114" s="445"/>
    </row>
    <row r="115" spans="1:10" ht="26.25" customHeight="1">
      <c r="A115" s="336" t="s">
        <v>102</v>
      </c>
      <c r="B115" s="337">
        <v>1</v>
      </c>
      <c r="C115" s="449"/>
      <c r="D115" s="450" t="s">
        <v>71</v>
      </c>
      <c r="E115" s="451" t="e">
        <f>AVERAGE(E108:E113)</f>
        <v>#DIV/0!</v>
      </c>
      <c r="F115" s="452" t="e">
        <f>AVERAGE(F108:F113)</f>
        <v>#DIV/0!</v>
      </c>
    </row>
    <row r="116" spans="1:10" ht="27" customHeight="1" thickBot="1">
      <c r="A116" s="336" t="s">
        <v>103</v>
      </c>
      <c r="B116" s="348" t="e">
        <f>(B115/B114)*(B113/B112)*(B111/B110)*(B109/B108)*B107</f>
        <v>#DIV/0!</v>
      </c>
      <c r="C116" s="453"/>
      <c r="D116" s="454" t="s">
        <v>84</v>
      </c>
      <c r="E116" s="409" t="e">
        <f>STDEV(E108:E113)/E115</f>
        <v>#DIV/0!</v>
      </c>
      <c r="F116" s="455" t="e">
        <f>STDEV(F108:F113)/F115</f>
        <v>#DIV/0!</v>
      </c>
      <c r="I116" s="309"/>
    </row>
    <row r="117" spans="1:10" ht="27" customHeight="1" thickBot="1">
      <c r="A117" s="522" t="s">
        <v>78</v>
      </c>
      <c r="B117" s="526"/>
      <c r="C117" s="456"/>
      <c r="D117" s="410" t="s">
        <v>20</v>
      </c>
      <c r="E117" s="457">
        <f>COUNT(E108:E113)</f>
        <v>0</v>
      </c>
      <c r="F117" s="458">
        <f>COUNT(F108:F113)</f>
        <v>0</v>
      </c>
      <c r="I117" s="309"/>
      <c r="J117" s="436"/>
    </row>
    <row r="118" spans="1:10" ht="26.25" customHeight="1" thickBot="1">
      <c r="A118" s="524"/>
      <c r="B118" s="527"/>
      <c r="C118" s="309"/>
      <c r="D118" s="459"/>
      <c r="E118" s="528" t="s">
        <v>123</v>
      </c>
      <c r="F118" s="529"/>
      <c r="G118" s="309"/>
      <c r="H118" s="309"/>
      <c r="I118" s="309"/>
    </row>
    <row r="119" spans="1:10" ht="25.5" customHeight="1">
      <c r="A119" s="460"/>
      <c r="B119" s="332"/>
      <c r="C119" s="309"/>
      <c r="D119" s="454" t="s">
        <v>124</v>
      </c>
      <c r="E119" s="461">
        <f>MIN(E108:E113)</f>
        <v>0</v>
      </c>
      <c r="F119" s="462">
        <f>MIN(F108:F113)</f>
        <v>0</v>
      </c>
      <c r="G119" s="309"/>
      <c r="H119" s="309"/>
      <c r="I119" s="309"/>
    </row>
    <row r="120" spans="1:10" ht="24" customHeight="1" thickBot="1">
      <c r="A120" s="460"/>
      <c r="B120" s="332"/>
      <c r="C120" s="309"/>
      <c r="D120" s="377" t="s">
        <v>125</v>
      </c>
      <c r="E120" s="463">
        <f>MAX(E108:E113)</f>
        <v>0</v>
      </c>
      <c r="F120" s="464">
        <f>MAX(F108:F113)</f>
        <v>0</v>
      </c>
      <c r="G120" s="309"/>
      <c r="H120" s="309"/>
      <c r="I120" s="309"/>
    </row>
    <row r="121" spans="1:10" ht="27" customHeight="1">
      <c r="A121" s="460"/>
      <c r="B121" s="332"/>
      <c r="C121" s="309"/>
      <c r="D121" s="309"/>
      <c r="E121" s="309"/>
      <c r="F121" s="366"/>
      <c r="G121" s="309"/>
      <c r="H121" s="309"/>
      <c r="I121" s="309"/>
    </row>
    <row r="122" spans="1:10" ht="25.5" customHeight="1">
      <c r="A122" s="460"/>
      <c r="B122" s="332"/>
      <c r="C122" s="309"/>
      <c r="D122" s="309"/>
      <c r="E122" s="309"/>
      <c r="F122" s="366"/>
      <c r="G122" s="309"/>
      <c r="H122" s="309"/>
      <c r="I122" s="309"/>
    </row>
    <row r="123" spans="1:10" ht="18.75">
      <c r="A123" s="460"/>
      <c r="B123" s="332"/>
      <c r="C123" s="309"/>
      <c r="D123" s="309"/>
      <c r="E123" s="309"/>
      <c r="F123" s="366"/>
      <c r="G123" s="309"/>
      <c r="H123" s="309"/>
      <c r="I123" s="309"/>
    </row>
    <row r="124" spans="1:10" ht="45.75" customHeight="1">
      <c r="A124" s="319" t="s">
        <v>106</v>
      </c>
      <c r="B124" s="320" t="s">
        <v>126</v>
      </c>
      <c r="C124" s="530" t="str">
        <f>B26</f>
        <v>ISONIAZID</v>
      </c>
      <c r="D124" s="530"/>
      <c r="E124" s="309" t="s">
        <v>127</v>
      </c>
      <c r="F124" s="309"/>
      <c r="G124" s="465" t="e">
        <f>F115</f>
        <v>#DIV/0!</v>
      </c>
      <c r="H124" s="309"/>
      <c r="I124" s="309"/>
    </row>
    <row r="125" spans="1:10" ht="45.75" customHeight="1">
      <c r="A125" s="319"/>
      <c r="B125" s="320" t="s">
        <v>128</v>
      </c>
      <c r="C125" s="320" t="s">
        <v>129</v>
      </c>
      <c r="D125" s="465">
        <f>MIN(F108:F113)</f>
        <v>0</v>
      </c>
      <c r="E125" s="320" t="s">
        <v>130</v>
      </c>
      <c r="F125" s="465">
        <f>MAX(F108:F113)</f>
        <v>0</v>
      </c>
      <c r="G125" s="466"/>
      <c r="H125" s="309"/>
      <c r="I125" s="309"/>
    </row>
    <row r="126" spans="1:10" ht="19.5" customHeight="1" thickBot="1">
      <c r="A126" s="467"/>
      <c r="B126" s="467"/>
      <c r="C126" s="468"/>
      <c r="D126" s="468"/>
      <c r="E126" s="468"/>
      <c r="F126" s="468"/>
      <c r="G126" s="468"/>
      <c r="H126" s="468"/>
    </row>
    <row r="127" spans="1:10" ht="18.75">
      <c r="B127" s="531" t="s">
        <v>26</v>
      </c>
      <c r="C127" s="531"/>
      <c r="E127" s="415" t="s">
        <v>27</v>
      </c>
      <c r="F127" s="469"/>
      <c r="G127" s="531" t="s">
        <v>28</v>
      </c>
      <c r="H127" s="531"/>
    </row>
    <row r="128" spans="1:10" ht="69.95" customHeight="1">
      <c r="A128" s="319" t="s">
        <v>29</v>
      </c>
      <c r="B128" s="470"/>
      <c r="C128" s="470"/>
      <c r="E128" s="470"/>
      <c r="F128" s="309"/>
      <c r="G128" s="470"/>
      <c r="H128" s="470"/>
    </row>
    <row r="129" spans="1:9" ht="69.95" customHeight="1">
      <c r="A129" s="319" t="s">
        <v>30</v>
      </c>
      <c r="B129" s="471"/>
      <c r="C129" s="471"/>
      <c r="E129" s="471"/>
      <c r="F129" s="309"/>
      <c r="G129" s="472"/>
      <c r="H129" s="472"/>
    </row>
    <row r="130" spans="1:9" ht="18.75">
      <c r="A130" s="366"/>
      <c r="B130" s="366"/>
      <c r="C130" s="366"/>
      <c r="D130" s="366"/>
      <c r="E130" s="366"/>
      <c r="F130" s="368"/>
      <c r="G130" s="366"/>
      <c r="H130" s="366"/>
      <c r="I130" s="309"/>
    </row>
    <row r="131" spans="1:9" ht="18.75">
      <c r="A131" s="366"/>
      <c r="B131" s="366"/>
      <c r="C131" s="366"/>
      <c r="D131" s="366"/>
      <c r="E131" s="366"/>
      <c r="F131" s="368"/>
      <c r="G131" s="366"/>
      <c r="H131" s="366"/>
      <c r="I131" s="309"/>
    </row>
    <row r="132" spans="1:9" ht="18.75">
      <c r="A132" s="366"/>
      <c r="B132" s="366"/>
      <c r="C132" s="366"/>
      <c r="D132" s="366"/>
      <c r="E132" s="366"/>
      <c r="F132" s="368"/>
      <c r="G132" s="366"/>
      <c r="H132" s="366"/>
      <c r="I132" s="309"/>
    </row>
    <row r="133" spans="1:9" ht="18.75">
      <c r="A133" s="366"/>
      <c r="B133" s="366"/>
      <c r="C133" s="366"/>
      <c r="D133" s="366"/>
      <c r="E133" s="366"/>
      <c r="F133" s="368"/>
      <c r="G133" s="366"/>
      <c r="H133" s="366"/>
      <c r="I133" s="309"/>
    </row>
    <row r="134" spans="1:9" ht="18.75">
      <c r="A134" s="366"/>
      <c r="B134" s="366"/>
      <c r="C134" s="366"/>
      <c r="D134" s="366"/>
      <c r="E134" s="366"/>
      <c r="F134" s="368"/>
      <c r="G134" s="366"/>
      <c r="H134" s="366"/>
      <c r="I134" s="309"/>
    </row>
    <row r="135" spans="1:9" ht="18.75">
      <c r="A135" s="366"/>
      <c r="B135" s="366"/>
      <c r="C135" s="366"/>
      <c r="D135" s="366"/>
      <c r="E135" s="366"/>
      <c r="F135" s="368"/>
      <c r="G135" s="366"/>
      <c r="H135" s="366"/>
      <c r="I135" s="309"/>
    </row>
    <row r="136" spans="1:9" ht="18.75">
      <c r="A136" s="366"/>
      <c r="B136" s="366"/>
      <c r="C136" s="366"/>
      <c r="D136" s="366"/>
      <c r="E136" s="366"/>
      <c r="F136" s="368"/>
      <c r="G136" s="366"/>
      <c r="H136" s="366"/>
      <c r="I136" s="309"/>
    </row>
    <row r="137" spans="1:9" ht="18.75">
      <c r="A137" s="366"/>
      <c r="B137" s="366"/>
      <c r="C137" s="366"/>
      <c r="D137" s="366"/>
      <c r="E137" s="366"/>
      <c r="F137" s="368"/>
      <c r="G137" s="366"/>
      <c r="H137" s="366"/>
      <c r="I137" s="309"/>
    </row>
    <row r="138" spans="1:9" ht="18.75">
      <c r="A138" s="366"/>
      <c r="B138" s="366"/>
      <c r="C138" s="366"/>
      <c r="D138" s="366"/>
      <c r="E138" s="366"/>
      <c r="F138" s="368"/>
      <c r="G138" s="366"/>
      <c r="H138" s="366"/>
      <c r="I138" s="309"/>
    </row>
    <row r="250" spans="1:1">
      <c r="A250" s="30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A46" zoomScale="41" zoomScaleNormal="40" zoomScalePageLayoutView="41" workbookViewId="0">
      <selection sqref="A1:I130"/>
    </sheetView>
  </sheetViews>
  <sheetFormatPr defaultColWidth="9.140625" defaultRowHeight="13.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0"/>
  </cols>
  <sheetData>
    <row r="1" spans="1:9" ht="18.75" customHeight="1">
      <c r="A1" s="550" t="s">
        <v>45</v>
      </c>
      <c r="B1" s="550"/>
      <c r="C1" s="550"/>
      <c r="D1" s="550"/>
      <c r="E1" s="550"/>
      <c r="F1" s="550"/>
      <c r="G1" s="550"/>
      <c r="H1" s="550"/>
      <c r="I1" s="550"/>
    </row>
    <row r="2" spans="1:9" ht="18.75" customHeight="1">
      <c r="A2" s="550"/>
      <c r="B2" s="550"/>
      <c r="C2" s="550"/>
      <c r="D2" s="550"/>
      <c r="E2" s="550"/>
      <c r="F2" s="550"/>
      <c r="G2" s="550"/>
      <c r="H2" s="550"/>
      <c r="I2" s="550"/>
    </row>
    <row r="3" spans="1:9" ht="18.75" customHeight="1">
      <c r="A3" s="550"/>
      <c r="B3" s="550"/>
      <c r="C3" s="550"/>
      <c r="D3" s="550"/>
      <c r="E3" s="550"/>
      <c r="F3" s="550"/>
      <c r="G3" s="550"/>
      <c r="H3" s="550"/>
      <c r="I3" s="550"/>
    </row>
    <row r="4" spans="1:9" ht="18.75" customHeight="1">
      <c r="A4" s="550"/>
      <c r="B4" s="550"/>
      <c r="C4" s="550"/>
      <c r="D4" s="550"/>
      <c r="E4" s="550"/>
      <c r="F4" s="550"/>
      <c r="G4" s="550"/>
      <c r="H4" s="550"/>
      <c r="I4" s="550"/>
    </row>
    <row r="5" spans="1:9" ht="18.75" customHeight="1">
      <c r="A5" s="550"/>
      <c r="B5" s="550"/>
      <c r="C5" s="550"/>
      <c r="D5" s="550"/>
      <c r="E5" s="550"/>
      <c r="F5" s="550"/>
      <c r="G5" s="550"/>
      <c r="H5" s="550"/>
      <c r="I5" s="550"/>
    </row>
    <row r="6" spans="1:9" ht="18.75" customHeight="1">
      <c r="A6" s="550"/>
      <c r="B6" s="550"/>
      <c r="C6" s="550"/>
      <c r="D6" s="550"/>
      <c r="E6" s="550"/>
      <c r="F6" s="550"/>
      <c r="G6" s="550"/>
      <c r="H6" s="550"/>
      <c r="I6" s="550"/>
    </row>
    <row r="7" spans="1:9" ht="18.75" customHeight="1">
      <c r="A7" s="550"/>
      <c r="B7" s="550"/>
      <c r="C7" s="550"/>
      <c r="D7" s="550"/>
      <c r="E7" s="550"/>
      <c r="F7" s="550"/>
      <c r="G7" s="550"/>
      <c r="H7" s="550"/>
      <c r="I7" s="550"/>
    </row>
    <row r="8" spans="1:9">
      <c r="A8" s="551" t="s">
        <v>46</v>
      </c>
      <c r="B8" s="551"/>
      <c r="C8" s="551"/>
      <c r="D8" s="551"/>
      <c r="E8" s="551"/>
      <c r="F8" s="551"/>
      <c r="G8" s="551"/>
      <c r="H8" s="551"/>
      <c r="I8" s="551"/>
    </row>
    <row r="9" spans="1:9">
      <c r="A9" s="551"/>
      <c r="B9" s="551"/>
      <c r="C9" s="551"/>
      <c r="D9" s="551"/>
      <c r="E9" s="551"/>
      <c r="F9" s="551"/>
      <c r="G9" s="551"/>
      <c r="H9" s="551"/>
      <c r="I9" s="551"/>
    </row>
    <row r="10" spans="1:9">
      <c r="A10" s="551"/>
      <c r="B10" s="551"/>
      <c r="C10" s="551"/>
      <c r="D10" s="551"/>
      <c r="E10" s="551"/>
      <c r="F10" s="551"/>
      <c r="G10" s="551"/>
      <c r="H10" s="551"/>
      <c r="I10" s="551"/>
    </row>
    <row r="11" spans="1:9">
      <c r="A11" s="551"/>
      <c r="B11" s="551"/>
      <c r="C11" s="551"/>
      <c r="D11" s="551"/>
      <c r="E11" s="551"/>
      <c r="F11" s="551"/>
      <c r="G11" s="551"/>
      <c r="H11" s="551"/>
      <c r="I11" s="551"/>
    </row>
    <row r="12" spans="1:9">
      <c r="A12" s="551"/>
      <c r="B12" s="551"/>
      <c r="C12" s="551"/>
      <c r="D12" s="551"/>
      <c r="E12" s="551"/>
      <c r="F12" s="551"/>
      <c r="G12" s="551"/>
      <c r="H12" s="551"/>
      <c r="I12" s="551"/>
    </row>
    <row r="13" spans="1:9">
      <c r="A13" s="551"/>
      <c r="B13" s="551"/>
      <c r="C13" s="551"/>
      <c r="D13" s="551"/>
      <c r="E13" s="551"/>
      <c r="F13" s="551"/>
      <c r="G13" s="551"/>
      <c r="H13" s="551"/>
      <c r="I13" s="551"/>
    </row>
    <row r="14" spans="1:9">
      <c r="A14" s="551"/>
      <c r="B14" s="551"/>
      <c r="C14" s="551"/>
      <c r="D14" s="551"/>
      <c r="E14" s="551"/>
      <c r="F14" s="551"/>
      <c r="G14" s="551"/>
      <c r="H14" s="551"/>
      <c r="I14" s="551"/>
    </row>
    <row r="15" spans="1:9" ht="19.5" customHeight="1" thickBot="1">
      <c r="A15" s="309"/>
    </row>
    <row r="16" spans="1:9" ht="19.5" customHeight="1" thickBot="1">
      <c r="A16" s="552" t="s">
        <v>31</v>
      </c>
      <c r="B16" s="553"/>
      <c r="C16" s="553"/>
      <c r="D16" s="553"/>
      <c r="E16" s="553"/>
      <c r="F16" s="553"/>
      <c r="G16" s="553"/>
      <c r="H16" s="554"/>
    </row>
    <row r="17" spans="1:14" ht="20.25" customHeight="1">
      <c r="A17" s="555" t="s">
        <v>47</v>
      </c>
      <c r="B17" s="555"/>
      <c r="C17" s="555"/>
      <c r="D17" s="555"/>
      <c r="E17" s="555"/>
      <c r="F17" s="555"/>
      <c r="G17" s="555"/>
      <c r="H17" s="555"/>
    </row>
    <row r="18" spans="1:14" ht="26.25" customHeight="1">
      <c r="A18" s="311" t="s">
        <v>33</v>
      </c>
      <c r="B18" s="556" t="s">
        <v>131</v>
      </c>
      <c r="C18" s="556"/>
      <c r="D18" s="312"/>
      <c r="E18" s="313"/>
      <c r="F18" s="314"/>
      <c r="G18" s="314"/>
      <c r="H18" s="314"/>
    </row>
    <row r="19" spans="1:14" ht="26.25" customHeight="1">
      <c r="A19" s="311" t="s">
        <v>34</v>
      </c>
      <c r="B19" s="475" t="s">
        <v>7</v>
      </c>
      <c r="C19" s="314">
        <v>1</v>
      </c>
      <c r="D19" s="314"/>
      <c r="E19" s="314"/>
      <c r="F19" s="314"/>
      <c r="G19" s="314"/>
      <c r="H19" s="314"/>
    </row>
    <row r="20" spans="1:14" ht="26.25" customHeight="1">
      <c r="A20" s="311" t="s">
        <v>35</v>
      </c>
      <c r="B20" s="557" t="s">
        <v>144</v>
      </c>
      <c r="C20" s="557"/>
      <c r="D20" s="314"/>
      <c r="E20" s="314"/>
      <c r="F20" s="314"/>
      <c r="G20" s="314"/>
      <c r="H20" s="314"/>
    </row>
    <row r="21" spans="1:14" ht="26.25" customHeight="1">
      <c r="A21" s="311" t="s">
        <v>36</v>
      </c>
      <c r="B21" s="557" t="s">
        <v>140</v>
      </c>
      <c r="C21" s="557"/>
      <c r="D21" s="557"/>
      <c r="E21" s="557"/>
      <c r="F21" s="557"/>
      <c r="G21" s="557"/>
      <c r="H21" s="557"/>
      <c r="I21" s="315"/>
    </row>
    <row r="22" spans="1:14" ht="26.25" customHeight="1">
      <c r="A22" s="311" t="s">
        <v>37</v>
      </c>
      <c r="B22" s="316" t="s">
        <v>133</v>
      </c>
      <c r="C22" s="314"/>
      <c r="D22" s="314"/>
      <c r="E22" s="314"/>
      <c r="F22" s="314"/>
      <c r="G22" s="314"/>
      <c r="H22" s="314"/>
    </row>
    <row r="23" spans="1:14" ht="26.25" customHeight="1">
      <c r="A23" s="311" t="s">
        <v>38</v>
      </c>
      <c r="B23" s="316"/>
      <c r="C23" s="314"/>
      <c r="D23" s="314"/>
      <c r="E23" s="314"/>
      <c r="F23" s="314"/>
      <c r="G23" s="314"/>
      <c r="H23" s="314"/>
    </row>
    <row r="24" spans="1:14" ht="18.75">
      <c r="A24" s="311"/>
      <c r="B24" s="317"/>
    </row>
    <row r="25" spans="1:14" ht="18.75">
      <c r="A25" s="318" t="s">
        <v>1</v>
      </c>
      <c r="B25" s="317"/>
    </row>
    <row r="26" spans="1:14" ht="26.25" customHeight="1">
      <c r="A26" s="319" t="s">
        <v>4</v>
      </c>
      <c r="B26" s="556" t="s">
        <v>144</v>
      </c>
      <c r="C26" s="556"/>
    </row>
    <row r="27" spans="1:14" ht="26.25" customHeight="1">
      <c r="A27" s="320" t="s">
        <v>48</v>
      </c>
      <c r="B27" s="558" t="s">
        <v>143</v>
      </c>
      <c r="C27" s="558"/>
    </row>
    <row r="28" spans="1:14" ht="27" customHeight="1" thickBot="1">
      <c r="A28" s="320" t="s">
        <v>6</v>
      </c>
      <c r="B28" s="321">
        <v>101.45</v>
      </c>
    </row>
    <row r="29" spans="1:14" s="323" customFormat="1" ht="27" customHeight="1" thickBot="1">
      <c r="A29" s="320" t="s">
        <v>49</v>
      </c>
      <c r="B29" s="322">
        <v>0</v>
      </c>
      <c r="C29" s="533" t="s">
        <v>50</v>
      </c>
      <c r="D29" s="534"/>
      <c r="E29" s="534"/>
      <c r="F29" s="534"/>
      <c r="G29" s="535"/>
      <c r="I29" s="324"/>
      <c r="J29" s="324"/>
      <c r="K29" s="324"/>
      <c r="L29" s="324"/>
    </row>
    <row r="30" spans="1:14" s="323" customFormat="1" ht="19.5" customHeight="1" thickBot="1">
      <c r="A30" s="320" t="s">
        <v>51</v>
      </c>
      <c r="B30" s="325">
        <f>B28-B29</f>
        <v>101.45</v>
      </c>
      <c r="C30" s="326"/>
      <c r="D30" s="326"/>
      <c r="E30" s="326"/>
      <c r="F30" s="326"/>
      <c r="G30" s="327"/>
      <c r="I30" s="324"/>
      <c r="J30" s="324"/>
      <c r="K30" s="324"/>
      <c r="L30" s="324"/>
    </row>
    <row r="31" spans="1:14" s="323" customFormat="1" ht="27" customHeight="1" thickBot="1">
      <c r="A31" s="320" t="s">
        <v>52</v>
      </c>
      <c r="B31" s="328">
        <v>1</v>
      </c>
      <c r="C31" s="536" t="s">
        <v>53</v>
      </c>
      <c r="D31" s="537"/>
      <c r="E31" s="537"/>
      <c r="F31" s="537"/>
      <c r="G31" s="537"/>
      <c r="H31" s="538"/>
      <c r="I31" s="324"/>
      <c r="J31" s="324"/>
      <c r="K31" s="324"/>
      <c r="L31" s="324"/>
    </row>
    <row r="32" spans="1:14" s="323" customFormat="1" ht="27" customHeight="1" thickBot="1">
      <c r="A32" s="320" t="s">
        <v>54</v>
      </c>
      <c r="B32" s="328">
        <v>1</v>
      </c>
      <c r="C32" s="536" t="s">
        <v>55</v>
      </c>
      <c r="D32" s="537"/>
      <c r="E32" s="537"/>
      <c r="F32" s="537"/>
      <c r="G32" s="537"/>
      <c r="H32" s="538"/>
      <c r="I32" s="324"/>
      <c r="J32" s="324"/>
      <c r="K32" s="324"/>
      <c r="L32" s="329"/>
      <c r="M32" s="329"/>
      <c r="N32" s="330"/>
    </row>
    <row r="33" spans="1:14" s="323" customFormat="1" ht="17.25" customHeight="1">
      <c r="A33" s="320"/>
      <c r="B33" s="331"/>
      <c r="C33" s="332"/>
      <c r="D33" s="332"/>
      <c r="E33" s="332"/>
      <c r="F33" s="332"/>
      <c r="G33" s="332"/>
      <c r="H33" s="332"/>
      <c r="I33" s="324"/>
      <c r="J33" s="324"/>
      <c r="K33" s="324"/>
      <c r="L33" s="329"/>
      <c r="M33" s="329"/>
      <c r="N33" s="330"/>
    </row>
    <row r="34" spans="1:14" s="323" customFormat="1" ht="18.75">
      <c r="A34" s="320" t="s">
        <v>56</v>
      </c>
      <c r="B34" s="333">
        <f>B31/B32</f>
        <v>1</v>
      </c>
      <c r="C34" s="309" t="s">
        <v>57</v>
      </c>
      <c r="D34" s="309"/>
      <c r="E34" s="309"/>
      <c r="F34" s="309"/>
      <c r="G34" s="309"/>
      <c r="I34" s="324"/>
      <c r="J34" s="324"/>
      <c r="K34" s="324"/>
      <c r="L34" s="329"/>
      <c r="M34" s="329"/>
      <c r="N34" s="330"/>
    </row>
    <row r="35" spans="1:14" s="323" customFormat="1" ht="19.5" customHeight="1" thickBot="1">
      <c r="A35" s="320"/>
      <c r="B35" s="325"/>
      <c r="G35" s="309"/>
      <c r="I35" s="324"/>
      <c r="J35" s="324"/>
      <c r="K35" s="324"/>
      <c r="L35" s="329"/>
      <c r="M35" s="329"/>
      <c r="N35" s="330"/>
    </row>
    <row r="36" spans="1:14" s="323" customFormat="1" ht="27" customHeight="1" thickBot="1">
      <c r="A36" s="334" t="s">
        <v>58</v>
      </c>
      <c r="B36" s="335">
        <v>50</v>
      </c>
      <c r="C36" s="309"/>
      <c r="D36" s="539" t="s">
        <v>59</v>
      </c>
      <c r="E36" s="541"/>
      <c r="F36" s="539" t="s">
        <v>60</v>
      </c>
      <c r="G36" s="540"/>
      <c r="J36" s="324"/>
      <c r="K36" s="324"/>
      <c r="L36" s="329"/>
      <c r="M36" s="329"/>
      <c r="N36" s="330"/>
    </row>
    <row r="37" spans="1:14" s="323" customFormat="1" ht="27" customHeight="1" thickBot="1">
      <c r="A37" s="336" t="s">
        <v>61</v>
      </c>
      <c r="B37" s="337">
        <v>1</v>
      </c>
      <c r="C37" s="338" t="s">
        <v>62</v>
      </c>
      <c r="D37" s="339" t="s">
        <v>63</v>
      </c>
      <c r="E37" s="340" t="s">
        <v>64</v>
      </c>
      <c r="F37" s="339" t="s">
        <v>63</v>
      </c>
      <c r="G37" s="341" t="s">
        <v>64</v>
      </c>
      <c r="I37" s="342" t="s">
        <v>65</v>
      </c>
      <c r="J37" s="324"/>
      <c r="K37" s="324"/>
      <c r="L37" s="329"/>
      <c r="M37" s="329"/>
      <c r="N37" s="330"/>
    </row>
    <row r="38" spans="1:14" s="323" customFormat="1" ht="26.25" customHeight="1">
      <c r="A38" s="336" t="s">
        <v>66</v>
      </c>
      <c r="B38" s="337">
        <v>1</v>
      </c>
      <c r="C38" s="343">
        <v>1</v>
      </c>
      <c r="D38" s="344">
        <v>35189369</v>
      </c>
      <c r="E38" s="345">
        <f>IF(ISBLANK(D38),"-",$D$48/$D$45*D38)</f>
        <v>32765184.684674196</v>
      </c>
      <c r="F38" s="344">
        <v>33871025</v>
      </c>
      <c r="G38" s="346">
        <f>IF(ISBLANK(F38),"-",$D$48/$F$45*F38)</f>
        <v>31866035.757011402</v>
      </c>
      <c r="I38" s="347"/>
      <c r="J38" s="324"/>
      <c r="K38" s="324"/>
      <c r="L38" s="329"/>
      <c r="M38" s="329"/>
      <c r="N38" s="330"/>
    </row>
    <row r="39" spans="1:14" s="323" customFormat="1" ht="26.25" customHeight="1">
      <c r="A39" s="336" t="s">
        <v>67</v>
      </c>
      <c r="B39" s="337">
        <v>1</v>
      </c>
      <c r="C39" s="348">
        <v>2</v>
      </c>
      <c r="D39" s="349">
        <v>35127937</v>
      </c>
      <c r="E39" s="350">
        <f>IF(ISBLANK(D39),"-",$D$48/$D$45*D39)</f>
        <v>32707984.715400837</v>
      </c>
      <c r="F39" s="349">
        <v>34130452</v>
      </c>
      <c r="G39" s="351">
        <f>IF(ISBLANK(F39),"-",$D$48/$F$45*F39)</f>
        <v>32110106.022329155</v>
      </c>
      <c r="I39" s="521">
        <f>ABS((F43/D43*D42)-F42)/D42</f>
        <v>1.5670524540205642E-2</v>
      </c>
      <c r="J39" s="324"/>
      <c r="K39" s="324"/>
      <c r="L39" s="329"/>
      <c r="M39" s="329"/>
      <c r="N39" s="330"/>
    </row>
    <row r="40" spans="1:14" ht="26.25" customHeight="1">
      <c r="A40" s="336" t="s">
        <v>68</v>
      </c>
      <c r="B40" s="337">
        <v>1</v>
      </c>
      <c r="C40" s="348">
        <v>3</v>
      </c>
      <c r="D40" s="349">
        <v>34728294</v>
      </c>
      <c r="E40" s="350">
        <f>IF(ISBLANK(D40),"-",$D$48/$D$45*D40)</f>
        <v>32335872.993166283</v>
      </c>
      <c r="F40" s="349">
        <v>34315524</v>
      </c>
      <c r="G40" s="351">
        <f>IF(ISBLANK(F40),"-",$D$48/$F$45*F40)</f>
        <v>32284222.718520712</v>
      </c>
      <c r="I40" s="521"/>
      <c r="L40" s="329"/>
      <c r="M40" s="329"/>
      <c r="N40" s="309"/>
    </row>
    <row r="41" spans="1:14" ht="27" customHeight="1" thickBot="1">
      <c r="A41" s="336" t="s">
        <v>69</v>
      </c>
      <c r="B41" s="337">
        <v>1</v>
      </c>
      <c r="C41" s="352">
        <v>4</v>
      </c>
      <c r="D41" s="353"/>
      <c r="E41" s="354" t="str">
        <f>IF(ISBLANK(D41),"-",$D$48/$D$45*D41)</f>
        <v>-</v>
      </c>
      <c r="F41" s="353"/>
      <c r="G41" s="355" t="str">
        <f>IF(ISBLANK(F41),"-",$D$48/$F$45*F41)</f>
        <v>-</v>
      </c>
      <c r="I41" s="356"/>
      <c r="L41" s="329"/>
      <c r="M41" s="329"/>
      <c r="N41" s="309"/>
    </row>
    <row r="42" spans="1:14" ht="27" customHeight="1" thickBot="1">
      <c r="A42" s="336" t="s">
        <v>70</v>
      </c>
      <c r="B42" s="337">
        <v>1</v>
      </c>
      <c r="C42" s="357" t="s">
        <v>71</v>
      </c>
      <c r="D42" s="358">
        <f>AVERAGE(D38:D41)</f>
        <v>35015200</v>
      </c>
      <c r="E42" s="359">
        <f>AVERAGE(E38:E41)</f>
        <v>32603014.131080437</v>
      </c>
      <c r="F42" s="358">
        <f>AVERAGE(F38:F41)</f>
        <v>34105667</v>
      </c>
      <c r="G42" s="360">
        <f>AVERAGE(G38:G41)</f>
        <v>32086788.165953755</v>
      </c>
      <c r="H42" s="361"/>
    </row>
    <row r="43" spans="1:14" ht="26.25" customHeight="1">
      <c r="A43" s="336" t="s">
        <v>72</v>
      </c>
      <c r="B43" s="337">
        <v>1</v>
      </c>
      <c r="C43" s="362" t="s">
        <v>73</v>
      </c>
      <c r="D43" s="363">
        <v>23.29</v>
      </c>
      <c r="E43" s="309"/>
      <c r="F43" s="363">
        <v>23.05</v>
      </c>
      <c r="H43" s="361"/>
    </row>
    <row r="44" spans="1:14" ht="26.25" customHeight="1">
      <c r="A44" s="336" t="s">
        <v>74</v>
      </c>
      <c r="B44" s="337">
        <v>1</v>
      </c>
      <c r="C44" s="364" t="s">
        <v>75</v>
      </c>
      <c r="D44" s="365">
        <f>D43*$B$34</f>
        <v>23.29</v>
      </c>
      <c r="E44" s="366"/>
      <c r="F44" s="365">
        <f>F43*$B$34</f>
        <v>23.05</v>
      </c>
      <c r="H44" s="361"/>
    </row>
    <row r="45" spans="1:14" ht="19.5" customHeight="1" thickBot="1">
      <c r="A45" s="336" t="s">
        <v>76</v>
      </c>
      <c r="B45" s="348">
        <f>(B44/B43)*(B42/B41)*(B40/B39)*(B38/B37)*B36</f>
        <v>50</v>
      </c>
      <c r="C45" s="364" t="s">
        <v>77</v>
      </c>
      <c r="D45" s="367">
        <f>D44*$B$30/100</f>
        <v>23.627705000000002</v>
      </c>
      <c r="E45" s="368"/>
      <c r="F45" s="367">
        <f>F44*$B$30/100</f>
        <v>23.384225000000001</v>
      </c>
      <c r="H45" s="361"/>
    </row>
    <row r="46" spans="1:14" ht="19.5" customHeight="1" thickBot="1">
      <c r="A46" s="522" t="s">
        <v>78</v>
      </c>
      <c r="B46" s="526"/>
      <c r="C46" s="364" t="s">
        <v>79</v>
      </c>
      <c r="D46" s="369">
        <f>D45/$B$45</f>
        <v>0.47255410000000003</v>
      </c>
      <c r="E46" s="370"/>
      <c r="F46" s="371">
        <f>F45/$B$45</f>
        <v>0.4676845</v>
      </c>
      <c r="H46" s="361"/>
    </row>
    <row r="47" spans="1:14" ht="27" customHeight="1" thickBot="1">
      <c r="A47" s="524"/>
      <c r="B47" s="527"/>
      <c r="C47" s="372" t="s">
        <v>80</v>
      </c>
      <c r="D47" s="373">
        <v>0.44</v>
      </c>
      <c r="E47" s="374"/>
      <c r="F47" s="370"/>
      <c r="H47" s="361"/>
    </row>
    <row r="48" spans="1:14" ht="18.75">
      <c r="C48" s="375" t="s">
        <v>81</v>
      </c>
      <c r="D48" s="367">
        <f>D47*$B$45</f>
        <v>22</v>
      </c>
      <c r="F48" s="376"/>
      <c r="H48" s="361"/>
    </row>
    <row r="49" spans="1:12" ht="19.5" customHeight="1" thickBot="1">
      <c r="C49" s="377" t="s">
        <v>82</v>
      </c>
      <c r="D49" s="378">
        <f>D48/B34</f>
        <v>22</v>
      </c>
      <c r="F49" s="376"/>
      <c r="H49" s="361"/>
    </row>
    <row r="50" spans="1:12" ht="18.75">
      <c r="C50" s="334" t="s">
        <v>83</v>
      </c>
      <c r="D50" s="379">
        <f>AVERAGE(E38:E41,G38:G41)</f>
        <v>32344901.148517098</v>
      </c>
      <c r="F50" s="380"/>
      <c r="H50" s="361"/>
    </row>
    <row r="51" spans="1:12" ht="18.75">
      <c r="C51" s="336" t="s">
        <v>84</v>
      </c>
      <c r="D51" s="381">
        <f>STDEV(E38:E41,G38:G41)/D50</f>
        <v>1.0680142390251774E-2</v>
      </c>
      <c r="F51" s="380"/>
      <c r="H51" s="361"/>
    </row>
    <row r="52" spans="1:12" ht="19.5" customHeight="1" thickBot="1">
      <c r="C52" s="382" t="s">
        <v>20</v>
      </c>
      <c r="D52" s="383">
        <f>COUNT(E38:E41,G38:G41)</f>
        <v>6</v>
      </c>
      <c r="F52" s="380"/>
    </row>
    <row r="54" spans="1:12" ht="18.75">
      <c r="A54" s="384" t="s">
        <v>1</v>
      </c>
      <c r="B54" s="385" t="s">
        <v>85</v>
      </c>
    </row>
    <row r="55" spans="1:12" ht="18.75">
      <c r="A55" s="309" t="s">
        <v>86</v>
      </c>
      <c r="B55" s="386" t="str">
        <f>B21</f>
        <v>Each  dispersible tablet contains: Rifampicin BP 75 mg and Isoniazid BP 50 mg.</v>
      </c>
    </row>
    <row r="56" spans="1:12" ht="26.25" customHeight="1">
      <c r="A56" s="386" t="s">
        <v>87</v>
      </c>
      <c r="B56" s="387">
        <v>150</v>
      </c>
      <c r="C56" s="309" t="str">
        <f>B20</f>
        <v>PYRAZINAMIDE</v>
      </c>
      <c r="H56" s="366"/>
    </row>
    <row r="57" spans="1:12" ht="18.75">
      <c r="A57" s="386" t="s">
        <v>88</v>
      </c>
      <c r="B57" s="388">
        <f>Uniformity!C46</f>
        <v>481.69849999999997</v>
      </c>
      <c r="H57" s="366"/>
    </row>
    <row r="58" spans="1:12" ht="19.5" customHeight="1" thickBot="1">
      <c r="H58" s="366"/>
    </row>
    <row r="59" spans="1:12" s="323" customFormat="1" ht="27" customHeight="1" thickBot="1">
      <c r="A59" s="334" t="s">
        <v>89</v>
      </c>
      <c r="B59" s="335">
        <v>50</v>
      </c>
      <c r="C59" s="309"/>
      <c r="D59" s="389" t="s">
        <v>90</v>
      </c>
      <c r="E59" s="390" t="s">
        <v>62</v>
      </c>
      <c r="F59" s="390" t="s">
        <v>63</v>
      </c>
      <c r="G59" s="390" t="s">
        <v>91</v>
      </c>
      <c r="H59" s="338" t="s">
        <v>92</v>
      </c>
      <c r="L59" s="324"/>
    </row>
    <row r="60" spans="1:12" s="323" customFormat="1" ht="26.25" customHeight="1">
      <c r="A60" s="336" t="s">
        <v>93</v>
      </c>
      <c r="B60" s="337">
        <v>4</v>
      </c>
      <c r="C60" s="542" t="s">
        <v>94</v>
      </c>
      <c r="D60" s="504">
        <v>244.93</v>
      </c>
      <c r="E60" s="391">
        <v>1</v>
      </c>
      <c r="F60" s="392">
        <v>22132422</v>
      </c>
      <c r="G60" s="393">
        <f>IF(ISBLANK(F60),"-",(F60/$D$50*$D$47*$B$68)*($B$57/$D$60))</f>
        <v>148.02978580491998</v>
      </c>
      <c r="H60" s="394">
        <f t="shared" ref="H60:H71" si="0">IF(ISBLANK(F60),"-",(G60/$B$56)*100)</f>
        <v>98.686523869946654</v>
      </c>
      <c r="L60" s="324"/>
    </row>
    <row r="61" spans="1:12" s="323" customFormat="1" ht="26.25" customHeight="1">
      <c r="A61" s="336" t="s">
        <v>95</v>
      </c>
      <c r="B61" s="337">
        <v>20</v>
      </c>
      <c r="C61" s="543"/>
      <c r="D61" s="505"/>
      <c r="E61" s="395">
        <v>2</v>
      </c>
      <c r="F61" s="349">
        <v>22324162</v>
      </c>
      <c r="G61" s="396">
        <f>IF(ISBLANK(F61),"-",(F61/$D$50*$D$47*$B$68)*($B$57/$D$60))</f>
        <v>149.31221350895689</v>
      </c>
      <c r="H61" s="397">
        <f t="shared" si="0"/>
        <v>99.54147567263793</v>
      </c>
      <c r="L61" s="324"/>
    </row>
    <row r="62" spans="1:12" s="323" customFormat="1" ht="26.25" customHeight="1">
      <c r="A62" s="336" t="s">
        <v>96</v>
      </c>
      <c r="B62" s="337">
        <v>1</v>
      </c>
      <c r="C62" s="543"/>
      <c r="D62" s="505"/>
      <c r="E62" s="395">
        <v>3</v>
      </c>
      <c r="F62" s="398">
        <v>22469722</v>
      </c>
      <c r="G62" s="396">
        <f>IF(ISBLANK(F62),"-",(F62/$D$50*$D$47*$B$68)*($B$57/$D$60))</f>
        <v>150.28577237304162</v>
      </c>
      <c r="H62" s="397">
        <f t="shared" si="0"/>
        <v>100.19051491536108</v>
      </c>
      <c r="L62" s="324"/>
    </row>
    <row r="63" spans="1:12" ht="27" customHeight="1" thickBot="1">
      <c r="A63" s="336" t="s">
        <v>97</v>
      </c>
      <c r="B63" s="337">
        <v>1</v>
      </c>
      <c r="C63" s="544"/>
      <c r="D63" s="506"/>
      <c r="E63" s="399">
        <v>4</v>
      </c>
      <c r="F63" s="400"/>
      <c r="G63" s="396" t="str">
        <f>IF(ISBLANK(F63),"-",(F63/$D$50*$D$47*$B$68)*($B$57/$D$60))</f>
        <v>-</v>
      </c>
      <c r="H63" s="397" t="str">
        <f t="shared" si="0"/>
        <v>-</v>
      </c>
    </row>
    <row r="64" spans="1:12" ht="26.25" customHeight="1">
      <c r="A64" s="336" t="s">
        <v>98</v>
      </c>
      <c r="B64" s="337">
        <v>1</v>
      </c>
      <c r="C64" s="542" t="s">
        <v>99</v>
      </c>
      <c r="D64" s="504">
        <v>236.85</v>
      </c>
      <c r="E64" s="391">
        <v>1</v>
      </c>
      <c r="F64" s="392">
        <v>20874201</v>
      </c>
      <c r="G64" s="393">
        <f>IF(ISBLANK(F64),"-",(F64/$D$50*$D$47*$B$68)*($B$57/$D$64))</f>
        <v>144.37720260616265</v>
      </c>
      <c r="H64" s="394">
        <f t="shared" si="0"/>
        <v>96.251468404108437</v>
      </c>
    </row>
    <row r="65" spans="1:8" ht="26.25" customHeight="1">
      <c r="A65" s="336" t="s">
        <v>100</v>
      </c>
      <c r="B65" s="337">
        <v>1</v>
      </c>
      <c r="C65" s="543"/>
      <c r="D65" s="505"/>
      <c r="E65" s="395">
        <v>2</v>
      </c>
      <c r="F65" s="349">
        <v>21127107</v>
      </c>
      <c r="G65" s="396">
        <f>IF(ISBLANK(F65),"-",(F65/$D$50*$D$47*$B$68)*($B$57/$D$64))</f>
        <v>146.1264365434192</v>
      </c>
      <c r="H65" s="397">
        <f t="shared" si="0"/>
        <v>97.417624362279469</v>
      </c>
    </row>
    <row r="66" spans="1:8" ht="26.25" customHeight="1">
      <c r="A66" s="336" t="s">
        <v>101</v>
      </c>
      <c r="B66" s="337">
        <v>1</v>
      </c>
      <c r="C66" s="543"/>
      <c r="D66" s="505"/>
      <c r="E66" s="395">
        <v>3</v>
      </c>
      <c r="F66" s="349">
        <v>20838893</v>
      </c>
      <c r="G66" s="396">
        <f>IF(ISBLANK(F66),"-",(F66/$D$50*$D$47*$B$68)*($B$57/$D$64))</f>
        <v>144.13299348555404</v>
      </c>
      <c r="H66" s="397">
        <f t="shared" si="0"/>
        <v>96.088662323702692</v>
      </c>
    </row>
    <row r="67" spans="1:8" ht="27" customHeight="1" thickBot="1">
      <c r="A67" s="336" t="s">
        <v>102</v>
      </c>
      <c r="B67" s="337">
        <v>1</v>
      </c>
      <c r="C67" s="544"/>
      <c r="D67" s="506"/>
      <c r="E67" s="399">
        <v>4</v>
      </c>
      <c r="F67" s="400"/>
      <c r="G67" s="401" t="str">
        <f>IF(ISBLANK(F67),"-",(F67/$D$50*$D$47*$B$68)*($B$57/$D$64))</f>
        <v>-</v>
      </c>
      <c r="H67" s="402" t="str">
        <f t="shared" si="0"/>
        <v>-</v>
      </c>
    </row>
    <row r="68" spans="1:8" ht="26.25" customHeight="1">
      <c r="A68" s="336" t="s">
        <v>103</v>
      </c>
      <c r="B68" s="403">
        <f>(B67/B66)*(B65/B64)*(B63/B62)*(B61/B60)*B59</f>
        <v>250</v>
      </c>
      <c r="C68" s="542" t="s">
        <v>104</v>
      </c>
      <c r="D68" s="504">
        <v>242.7</v>
      </c>
      <c r="E68" s="391">
        <v>1</v>
      </c>
      <c r="F68" s="392"/>
      <c r="G68" s="393" t="str">
        <f>IF(ISBLANK(F68),"-",(F68/$D$50*$D$47*$B$68)*($B$57/$D$68))</f>
        <v>-</v>
      </c>
      <c r="H68" s="397" t="str">
        <f t="shared" si="0"/>
        <v>-</v>
      </c>
    </row>
    <row r="69" spans="1:8" ht="27" customHeight="1" thickBot="1">
      <c r="A69" s="382" t="s">
        <v>105</v>
      </c>
      <c r="B69" s="404">
        <f>(D47*B68)/B56*B57</f>
        <v>353.2455666666666</v>
      </c>
      <c r="C69" s="543"/>
      <c r="D69" s="505"/>
      <c r="E69" s="395">
        <v>2</v>
      </c>
      <c r="F69" s="349"/>
      <c r="G69" s="396" t="str">
        <f>IF(ISBLANK(F69),"-",(F69/$D$50*$D$47*$B$68)*($B$57/$D$68))</f>
        <v>-</v>
      </c>
      <c r="H69" s="397" t="str">
        <f t="shared" si="0"/>
        <v>-</v>
      </c>
    </row>
    <row r="70" spans="1:8" ht="26.25" customHeight="1">
      <c r="A70" s="546" t="s">
        <v>78</v>
      </c>
      <c r="B70" s="547"/>
      <c r="C70" s="543"/>
      <c r="D70" s="505"/>
      <c r="E70" s="395">
        <v>3</v>
      </c>
      <c r="F70" s="349"/>
      <c r="G70" s="396" t="str">
        <f>IF(ISBLANK(F70),"-",(F70/$D$50*$D$47*$B$68)*($B$57/$D$68))</f>
        <v>-</v>
      </c>
      <c r="H70" s="397" t="str">
        <f t="shared" si="0"/>
        <v>-</v>
      </c>
    </row>
    <row r="71" spans="1:8" ht="27" customHeight="1" thickBot="1">
      <c r="A71" s="548"/>
      <c r="B71" s="549"/>
      <c r="C71" s="545"/>
      <c r="D71" s="506"/>
      <c r="E71" s="399">
        <v>4</v>
      </c>
      <c r="F71" s="400"/>
      <c r="G71" s="401" t="str">
        <f>IF(ISBLANK(F71),"-",(F71/$D$50*$D$47*$B$68)*($B$57/$D$68))</f>
        <v>-</v>
      </c>
      <c r="H71" s="402" t="str">
        <f t="shared" si="0"/>
        <v>-</v>
      </c>
    </row>
    <row r="72" spans="1:8" ht="26.25" customHeight="1">
      <c r="A72" s="366"/>
      <c r="B72" s="366"/>
      <c r="C72" s="366"/>
      <c r="D72" s="366"/>
      <c r="E72" s="366"/>
      <c r="F72" s="405" t="s">
        <v>71</v>
      </c>
      <c r="G72" s="406">
        <f>AVERAGE(G60:G71)</f>
        <v>147.04406738700905</v>
      </c>
      <c r="H72" s="407">
        <f>AVERAGE(H60:H71)</f>
        <v>98.029378258006048</v>
      </c>
    </row>
    <row r="73" spans="1:8" ht="26.25" customHeight="1">
      <c r="C73" s="366"/>
      <c r="D73" s="366"/>
      <c r="E73" s="366"/>
      <c r="F73" s="408" t="s">
        <v>84</v>
      </c>
      <c r="G73" s="409">
        <f>STDEV(G60:G71)/G72</f>
        <v>1.7485384785177638E-2</v>
      </c>
      <c r="H73" s="409">
        <f>STDEV(H60:H71)/H72</f>
        <v>1.7485384785169936E-2</v>
      </c>
    </row>
    <row r="74" spans="1:8" ht="27" customHeight="1" thickBot="1">
      <c r="A74" s="366"/>
      <c r="B74" s="366"/>
      <c r="C74" s="366"/>
      <c r="D74" s="366"/>
      <c r="E74" s="368"/>
      <c r="F74" s="410" t="s">
        <v>20</v>
      </c>
      <c r="G74" s="411">
        <f>COUNT(G60:G71)</f>
        <v>6</v>
      </c>
      <c r="H74" s="411">
        <f>COUNT(H60:H71)</f>
        <v>6</v>
      </c>
    </row>
    <row r="76" spans="1:8" ht="26.25" customHeight="1">
      <c r="A76" s="319" t="s">
        <v>106</v>
      </c>
      <c r="B76" s="320" t="s">
        <v>107</v>
      </c>
      <c r="C76" s="530" t="str">
        <f>B26</f>
        <v>PYRAZINAMIDE</v>
      </c>
      <c r="D76" s="530"/>
      <c r="E76" s="309" t="s">
        <v>108</v>
      </c>
      <c r="F76" s="309"/>
      <c r="G76" s="412">
        <f>H72</f>
        <v>98.029378258006048</v>
      </c>
      <c r="H76" s="325"/>
    </row>
    <row r="77" spans="1:8" ht="18.75">
      <c r="A77" s="318" t="s">
        <v>109</v>
      </c>
      <c r="B77" s="318" t="s">
        <v>110</v>
      </c>
    </row>
    <row r="78" spans="1:8" ht="18.75">
      <c r="A78" s="318"/>
      <c r="B78" s="318"/>
    </row>
    <row r="79" spans="1:8" ht="26.25" customHeight="1">
      <c r="A79" s="319" t="s">
        <v>4</v>
      </c>
      <c r="B79" s="532"/>
      <c r="C79" s="532"/>
    </row>
    <row r="80" spans="1:8" ht="26.25" customHeight="1">
      <c r="A80" s="320" t="s">
        <v>48</v>
      </c>
      <c r="B80" s="532"/>
      <c r="C80" s="532"/>
    </row>
    <row r="81" spans="1:12" ht="27" customHeight="1" thickBot="1">
      <c r="A81" s="320" t="s">
        <v>6</v>
      </c>
      <c r="B81" s="321"/>
    </row>
    <row r="82" spans="1:12" s="323" customFormat="1" ht="27" customHeight="1" thickBot="1">
      <c r="A82" s="320" t="s">
        <v>49</v>
      </c>
      <c r="B82" s="322">
        <v>0</v>
      </c>
      <c r="C82" s="533" t="s">
        <v>50</v>
      </c>
      <c r="D82" s="534"/>
      <c r="E82" s="534"/>
      <c r="F82" s="534"/>
      <c r="G82" s="535"/>
      <c r="I82" s="324"/>
      <c r="J82" s="324"/>
      <c r="K82" s="324"/>
      <c r="L82" s="324"/>
    </row>
    <row r="83" spans="1:12" s="323" customFormat="1" ht="19.5" customHeight="1" thickBot="1">
      <c r="A83" s="320" t="s">
        <v>51</v>
      </c>
      <c r="B83" s="325">
        <f>B81-B82</f>
        <v>0</v>
      </c>
      <c r="C83" s="326"/>
      <c r="D83" s="326"/>
      <c r="E83" s="326"/>
      <c r="F83" s="326"/>
      <c r="G83" s="327"/>
      <c r="I83" s="324"/>
      <c r="J83" s="324"/>
      <c r="K83" s="324"/>
      <c r="L83" s="324"/>
    </row>
    <row r="84" spans="1:12" s="323" customFormat="1" ht="27" customHeight="1" thickBot="1">
      <c r="A84" s="320" t="s">
        <v>52</v>
      </c>
      <c r="B84" s="328"/>
      <c r="C84" s="536" t="s">
        <v>111</v>
      </c>
      <c r="D84" s="537"/>
      <c r="E84" s="537"/>
      <c r="F84" s="537"/>
      <c r="G84" s="537"/>
      <c r="H84" s="538"/>
      <c r="I84" s="324"/>
      <c r="J84" s="324"/>
      <c r="K84" s="324"/>
      <c r="L84" s="324"/>
    </row>
    <row r="85" spans="1:12" s="323" customFormat="1" ht="27" customHeight="1" thickBot="1">
      <c r="A85" s="320" t="s">
        <v>54</v>
      </c>
      <c r="B85" s="328"/>
      <c r="C85" s="536" t="s">
        <v>112</v>
      </c>
      <c r="D85" s="537"/>
      <c r="E85" s="537"/>
      <c r="F85" s="537"/>
      <c r="G85" s="537"/>
      <c r="H85" s="538"/>
      <c r="I85" s="324"/>
      <c r="J85" s="324"/>
      <c r="K85" s="324"/>
      <c r="L85" s="324"/>
    </row>
    <row r="86" spans="1:12" s="323" customFormat="1" ht="18.75">
      <c r="A86" s="320"/>
      <c r="B86" s="331"/>
      <c r="C86" s="332"/>
      <c r="D86" s="332"/>
      <c r="E86" s="332"/>
      <c r="F86" s="332"/>
      <c r="G86" s="332"/>
      <c r="H86" s="332"/>
      <c r="I86" s="324"/>
      <c r="J86" s="324"/>
      <c r="K86" s="324"/>
      <c r="L86" s="324"/>
    </row>
    <row r="87" spans="1:12" s="323" customFormat="1" ht="18.75">
      <c r="A87" s="320" t="s">
        <v>56</v>
      </c>
      <c r="B87" s="333" t="e">
        <f>B84/B85</f>
        <v>#DIV/0!</v>
      </c>
      <c r="C87" s="309" t="s">
        <v>57</v>
      </c>
      <c r="D87" s="309"/>
      <c r="E87" s="309"/>
      <c r="F87" s="309"/>
      <c r="G87" s="309"/>
      <c r="I87" s="324"/>
      <c r="J87" s="324"/>
      <c r="K87" s="324"/>
      <c r="L87" s="324"/>
    </row>
    <row r="88" spans="1:12" ht="19.5" customHeight="1" thickBot="1">
      <c r="A88" s="318"/>
      <c r="B88" s="318"/>
    </row>
    <row r="89" spans="1:12" ht="27" customHeight="1" thickBot="1">
      <c r="A89" s="334" t="s">
        <v>58</v>
      </c>
      <c r="B89" s="335"/>
      <c r="D89" s="413" t="s">
        <v>59</v>
      </c>
      <c r="E89" s="414"/>
      <c r="F89" s="539" t="s">
        <v>60</v>
      </c>
      <c r="G89" s="540"/>
    </row>
    <row r="90" spans="1:12" ht="27" customHeight="1" thickBot="1">
      <c r="A90" s="336" t="s">
        <v>61</v>
      </c>
      <c r="B90" s="337"/>
      <c r="C90" s="415" t="s">
        <v>62</v>
      </c>
      <c r="D90" s="339" t="s">
        <v>63</v>
      </c>
      <c r="E90" s="340" t="s">
        <v>64</v>
      </c>
      <c r="F90" s="339" t="s">
        <v>63</v>
      </c>
      <c r="G90" s="416" t="s">
        <v>64</v>
      </c>
      <c r="I90" s="342" t="s">
        <v>65</v>
      </c>
    </row>
    <row r="91" spans="1:12" ht="26.25" customHeight="1">
      <c r="A91" s="336" t="s">
        <v>66</v>
      </c>
      <c r="B91" s="337"/>
      <c r="C91" s="417">
        <v>1</v>
      </c>
      <c r="D91" s="344"/>
      <c r="E91" s="345" t="str">
        <f>IF(ISBLANK(D91),"-",$D$101/$D$98*D91)</f>
        <v>-</v>
      </c>
      <c r="F91" s="344"/>
      <c r="G91" s="346" t="str">
        <f>IF(ISBLANK(F91),"-",$D$101/$F$98*F91)</f>
        <v>-</v>
      </c>
      <c r="I91" s="347"/>
    </row>
    <row r="92" spans="1:12" ht="26.25" customHeight="1">
      <c r="A92" s="336" t="s">
        <v>67</v>
      </c>
      <c r="B92" s="337">
        <v>1</v>
      </c>
      <c r="C92" s="366">
        <v>2</v>
      </c>
      <c r="D92" s="349"/>
      <c r="E92" s="350" t="str">
        <f>IF(ISBLANK(D92),"-",$D$101/$D$98*D92)</f>
        <v>-</v>
      </c>
      <c r="F92" s="349"/>
      <c r="G92" s="351" t="str">
        <f>IF(ISBLANK(F92),"-",$D$101/$F$98*F92)</f>
        <v>-</v>
      </c>
      <c r="I92" s="521" t="e">
        <f>ABS((F96/D96*D95)-F95)/D95</f>
        <v>#DIV/0!</v>
      </c>
    </row>
    <row r="93" spans="1:12" ht="26.25" customHeight="1">
      <c r="A93" s="336" t="s">
        <v>68</v>
      </c>
      <c r="B93" s="337">
        <v>1</v>
      </c>
      <c r="C93" s="366">
        <v>3</v>
      </c>
      <c r="D93" s="349"/>
      <c r="E93" s="350" t="str">
        <f>IF(ISBLANK(D93),"-",$D$101/$D$98*D93)</f>
        <v>-</v>
      </c>
      <c r="F93" s="349"/>
      <c r="G93" s="351" t="str">
        <f>IF(ISBLANK(F93),"-",$D$101/$F$98*F93)</f>
        <v>-</v>
      </c>
      <c r="I93" s="521"/>
    </row>
    <row r="94" spans="1:12" ht="27" customHeight="1" thickBot="1">
      <c r="A94" s="336" t="s">
        <v>69</v>
      </c>
      <c r="B94" s="337">
        <v>1</v>
      </c>
      <c r="C94" s="418">
        <v>4</v>
      </c>
      <c r="D94" s="353"/>
      <c r="E94" s="354" t="str">
        <f>IF(ISBLANK(D94),"-",$D$101/$D$98*D94)</f>
        <v>-</v>
      </c>
      <c r="F94" s="419"/>
      <c r="G94" s="355" t="str">
        <f>IF(ISBLANK(F94),"-",$D$101/$F$98*F94)</f>
        <v>-</v>
      </c>
      <c r="I94" s="356"/>
    </row>
    <row r="95" spans="1:12" ht="27" customHeight="1" thickBot="1">
      <c r="A95" s="336" t="s">
        <v>70</v>
      </c>
      <c r="B95" s="337">
        <v>1</v>
      </c>
      <c r="C95" s="320" t="s">
        <v>71</v>
      </c>
      <c r="D95" s="420" t="e">
        <f>AVERAGE(D91:D94)</f>
        <v>#DIV/0!</v>
      </c>
      <c r="E95" s="359" t="e">
        <f>AVERAGE(E91:E94)</f>
        <v>#DIV/0!</v>
      </c>
      <c r="F95" s="421" t="e">
        <f>AVERAGE(F91:F94)</f>
        <v>#DIV/0!</v>
      </c>
      <c r="G95" s="422" t="e">
        <f>AVERAGE(G91:G94)</f>
        <v>#DIV/0!</v>
      </c>
    </row>
    <row r="96" spans="1:12" ht="26.25" customHeight="1">
      <c r="A96" s="336" t="s">
        <v>72</v>
      </c>
      <c r="B96" s="321">
        <v>1</v>
      </c>
      <c r="C96" s="423" t="s">
        <v>113</v>
      </c>
      <c r="D96" s="424"/>
      <c r="E96" s="309"/>
      <c r="F96" s="363"/>
    </row>
    <row r="97" spans="1:10" ht="26.25" customHeight="1">
      <c r="A97" s="336" t="s">
        <v>74</v>
      </c>
      <c r="B97" s="321">
        <v>1</v>
      </c>
      <c r="C97" s="425" t="s">
        <v>114</v>
      </c>
      <c r="D97" s="426" t="e">
        <f>D96*$B$87</f>
        <v>#DIV/0!</v>
      </c>
      <c r="E97" s="366"/>
      <c r="F97" s="365" t="e">
        <f>F96*$B$87</f>
        <v>#DIV/0!</v>
      </c>
    </row>
    <row r="98" spans="1:10" ht="19.5" customHeight="1" thickBot="1">
      <c r="A98" s="336" t="s">
        <v>76</v>
      </c>
      <c r="B98" s="366" t="e">
        <f>(B97/B96)*(B95/B94)*(B93/B92)*(B91/B90)*B89</f>
        <v>#DIV/0!</v>
      </c>
      <c r="C98" s="425" t="s">
        <v>115</v>
      </c>
      <c r="D98" s="427" t="e">
        <f>D97*$B$83/100</f>
        <v>#DIV/0!</v>
      </c>
      <c r="E98" s="368"/>
      <c r="F98" s="367" t="e">
        <f>F97*$B$83/100</f>
        <v>#DIV/0!</v>
      </c>
    </row>
    <row r="99" spans="1:10" ht="19.5" customHeight="1" thickBot="1">
      <c r="A99" s="522" t="s">
        <v>78</v>
      </c>
      <c r="B99" s="523"/>
      <c r="C99" s="425" t="s">
        <v>116</v>
      </c>
      <c r="D99" s="428" t="e">
        <f>D98/$B$98</f>
        <v>#DIV/0!</v>
      </c>
      <c r="E99" s="368"/>
      <c r="F99" s="371" t="e">
        <f>F98/$B$98</f>
        <v>#DIV/0!</v>
      </c>
      <c r="H99" s="361"/>
    </row>
    <row r="100" spans="1:10" ht="19.5" customHeight="1" thickBot="1">
      <c r="A100" s="524"/>
      <c r="B100" s="525"/>
      <c r="C100" s="425" t="s">
        <v>80</v>
      </c>
      <c r="D100" s="429" t="e">
        <f>$B$56/$B$116</f>
        <v>#DIV/0!</v>
      </c>
      <c r="F100" s="376"/>
      <c r="G100" s="430"/>
      <c r="H100" s="361"/>
    </row>
    <row r="101" spans="1:10" ht="18.75">
      <c r="C101" s="425" t="s">
        <v>81</v>
      </c>
      <c r="D101" s="426" t="e">
        <f>D100*$B$98</f>
        <v>#DIV/0!</v>
      </c>
      <c r="F101" s="376"/>
      <c r="H101" s="361"/>
    </row>
    <row r="102" spans="1:10" ht="19.5" customHeight="1" thickBot="1">
      <c r="C102" s="431" t="s">
        <v>82</v>
      </c>
      <c r="D102" s="432" t="e">
        <f>D101/B34</f>
        <v>#DIV/0!</v>
      </c>
      <c r="F102" s="380"/>
      <c r="H102" s="361"/>
      <c r="J102" s="433"/>
    </row>
    <row r="103" spans="1:10" ht="18.75">
      <c r="C103" s="434" t="s">
        <v>117</v>
      </c>
      <c r="D103" s="435" t="e">
        <f>AVERAGE(E91:E94,G91:G94)</f>
        <v>#DIV/0!</v>
      </c>
      <c r="F103" s="380"/>
      <c r="G103" s="430"/>
      <c r="H103" s="361"/>
      <c r="J103" s="436"/>
    </row>
    <row r="104" spans="1:10" ht="18.75">
      <c r="C104" s="408" t="s">
        <v>84</v>
      </c>
      <c r="D104" s="437" t="e">
        <f>STDEV(E91:E94,G91:G94)/D103</f>
        <v>#DIV/0!</v>
      </c>
      <c r="F104" s="380"/>
      <c r="H104" s="361"/>
      <c r="J104" s="436"/>
    </row>
    <row r="105" spans="1:10" ht="19.5" customHeight="1" thickBot="1">
      <c r="C105" s="410" t="s">
        <v>20</v>
      </c>
      <c r="D105" s="438">
        <f>COUNT(E91:E94,G91:G94)</f>
        <v>0</v>
      </c>
      <c r="F105" s="380"/>
      <c r="H105" s="361"/>
      <c r="J105" s="436"/>
    </row>
    <row r="106" spans="1:10" ht="19.5" customHeight="1" thickBot="1">
      <c r="A106" s="384"/>
      <c r="B106" s="384"/>
      <c r="C106" s="384"/>
      <c r="D106" s="384"/>
      <c r="E106" s="384"/>
    </row>
    <row r="107" spans="1:10" ht="27" customHeight="1" thickBot="1">
      <c r="A107" s="334" t="s">
        <v>118</v>
      </c>
      <c r="B107" s="335"/>
      <c r="C107" s="390" t="s">
        <v>119</v>
      </c>
      <c r="D107" s="390" t="s">
        <v>63</v>
      </c>
      <c r="E107" s="390" t="s">
        <v>120</v>
      </c>
      <c r="F107" s="439" t="s">
        <v>121</v>
      </c>
    </row>
    <row r="108" spans="1:10" ht="26.25" customHeight="1">
      <c r="A108" s="336" t="s">
        <v>122</v>
      </c>
      <c r="B108" s="337"/>
      <c r="C108" s="391">
        <v>1</v>
      </c>
      <c r="D108" s="440"/>
      <c r="E108" s="441" t="str">
        <f t="shared" ref="E108:E113" si="1">IF(ISBLANK(D108),"-",D108/$D$103*$D$100*$B$116)</f>
        <v>-</v>
      </c>
      <c r="F108" s="442" t="str">
        <f t="shared" ref="F108:F113" si="2">IF(ISBLANK(D108), "-", (E108/$B$56)*100)</f>
        <v>-</v>
      </c>
    </row>
    <row r="109" spans="1:10" ht="26.25" customHeight="1">
      <c r="A109" s="336" t="s">
        <v>95</v>
      </c>
      <c r="B109" s="337"/>
      <c r="C109" s="395">
        <v>2</v>
      </c>
      <c r="D109" s="443"/>
      <c r="E109" s="444" t="str">
        <f t="shared" si="1"/>
        <v>-</v>
      </c>
      <c r="F109" s="445" t="str">
        <f t="shared" si="2"/>
        <v>-</v>
      </c>
    </row>
    <row r="110" spans="1:10" ht="26.25" customHeight="1">
      <c r="A110" s="336" t="s">
        <v>96</v>
      </c>
      <c r="B110" s="337">
        <v>1</v>
      </c>
      <c r="C110" s="395">
        <v>3</v>
      </c>
      <c r="D110" s="443"/>
      <c r="E110" s="444" t="str">
        <f t="shared" si="1"/>
        <v>-</v>
      </c>
      <c r="F110" s="445" t="str">
        <f t="shared" si="2"/>
        <v>-</v>
      </c>
    </row>
    <row r="111" spans="1:10" ht="26.25" customHeight="1">
      <c r="A111" s="336" t="s">
        <v>97</v>
      </c>
      <c r="B111" s="337">
        <v>1</v>
      </c>
      <c r="C111" s="395">
        <v>4</v>
      </c>
      <c r="D111" s="443"/>
      <c r="E111" s="444" t="str">
        <f t="shared" si="1"/>
        <v>-</v>
      </c>
      <c r="F111" s="445" t="str">
        <f t="shared" si="2"/>
        <v>-</v>
      </c>
    </row>
    <row r="112" spans="1:10" ht="26.25" customHeight="1">
      <c r="A112" s="336" t="s">
        <v>98</v>
      </c>
      <c r="B112" s="337">
        <v>1</v>
      </c>
      <c r="C112" s="395">
        <v>5</v>
      </c>
      <c r="D112" s="443"/>
      <c r="E112" s="444" t="str">
        <f t="shared" si="1"/>
        <v>-</v>
      </c>
      <c r="F112" s="445" t="str">
        <f t="shared" si="2"/>
        <v>-</v>
      </c>
    </row>
    <row r="113" spans="1:10" ht="27" customHeight="1" thickBot="1">
      <c r="A113" s="336" t="s">
        <v>100</v>
      </c>
      <c r="B113" s="337">
        <v>1</v>
      </c>
      <c r="C113" s="399">
        <v>6</v>
      </c>
      <c r="D113" s="446"/>
      <c r="E113" s="447" t="str">
        <f t="shared" si="1"/>
        <v>-</v>
      </c>
      <c r="F113" s="448" t="str">
        <f t="shared" si="2"/>
        <v>-</v>
      </c>
    </row>
    <row r="114" spans="1:10" ht="27" customHeight="1" thickBot="1">
      <c r="A114" s="336" t="s">
        <v>101</v>
      </c>
      <c r="B114" s="337">
        <v>1</v>
      </c>
      <c r="C114" s="449"/>
      <c r="D114" s="366"/>
      <c r="E114" s="309"/>
      <c r="F114" s="445"/>
    </row>
    <row r="115" spans="1:10" ht="26.25" customHeight="1">
      <c r="A115" s="336" t="s">
        <v>102</v>
      </c>
      <c r="B115" s="337">
        <v>1</v>
      </c>
      <c r="C115" s="449"/>
      <c r="D115" s="450" t="s">
        <v>71</v>
      </c>
      <c r="E115" s="451" t="e">
        <f>AVERAGE(E108:E113)</f>
        <v>#DIV/0!</v>
      </c>
      <c r="F115" s="452" t="e">
        <f>AVERAGE(F108:F113)</f>
        <v>#DIV/0!</v>
      </c>
    </row>
    <row r="116" spans="1:10" ht="27" customHeight="1" thickBot="1">
      <c r="A116" s="336" t="s">
        <v>103</v>
      </c>
      <c r="B116" s="348" t="e">
        <f>(B115/B114)*(B113/B112)*(B111/B110)*(B109/B108)*B107</f>
        <v>#DIV/0!</v>
      </c>
      <c r="C116" s="453"/>
      <c r="D116" s="454" t="s">
        <v>84</v>
      </c>
      <c r="E116" s="409" t="e">
        <f>STDEV(E108:E113)/E115</f>
        <v>#DIV/0!</v>
      </c>
      <c r="F116" s="455" t="e">
        <f>STDEV(F108:F113)/F115</f>
        <v>#DIV/0!</v>
      </c>
      <c r="I116" s="309"/>
    </row>
    <row r="117" spans="1:10" ht="27" customHeight="1" thickBot="1">
      <c r="A117" s="522" t="s">
        <v>78</v>
      </c>
      <c r="B117" s="526"/>
      <c r="C117" s="456"/>
      <c r="D117" s="410" t="s">
        <v>20</v>
      </c>
      <c r="E117" s="457">
        <f>COUNT(E108:E113)</f>
        <v>0</v>
      </c>
      <c r="F117" s="458">
        <f>COUNT(F108:F113)</f>
        <v>0</v>
      </c>
      <c r="I117" s="309"/>
      <c r="J117" s="436"/>
    </row>
    <row r="118" spans="1:10" ht="26.25" customHeight="1" thickBot="1">
      <c r="A118" s="524"/>
      <c r="B118" s="527"/>
      <c r="C118" s="309"/>
      <c r="D118" s="459"/>
      <c r="E118" s="528" t="s">
        <v>123</v>
      </c>
      <c r="F118" s="529"/>
      <c r="G118" s="309"/>
      <c r="H118" s="309"/>
      <c r="I118" s="309"/>
    </row>
    <row r="119" spans="1:10" ht="25.5" customHeight="1">
      <c r="A119" s="460"/>
      <c r="B119" s="332"/>
      <c r="C119" s="309"/>
      <c r="D119" s="454" t="s">
        <v>124</v>
      </c>
      <c r="E119" s="461">
        <f>MIN(E108:E113)</f>
        <v>0</v>
      </c>
      <c r="F119" s="462">
        <f>MIN(F108:F113)</f>
        <v>0</v>
      </c>
      <c r="G119" s="309"/>
      <c r="H119" s="309"/>
      <c r="I119" s="309"/>
    </row>
    <row r="120" spans="1:10" ht="24" customHeight="1" thickBot="1">
      <c r="A120" s="460"/>
      <c r="B120" s="332"/>
      <c r="C120" s="309"/>
      <c r="D120" s="377" t="s">
        <v>125</v>
      </c>
      <c r="E120" s="463">
        <f>MAX(E108:E113)</f>
        <v>0</v>
      </c>
      <c r="F120" s="464">
        <f>MAX(F108:F113)</f>
        <v>0</v>
      </c>
      <c r="G120" s="309"/>
      <c r="H120" s="309"/>
      <c r="I120" s="309"/>
    </row>
    <row r="121" spans="1:10" ht="27" customHeight="1">
      <c r="A121" s="460"/>
      <c r="B121" s="332"/>
      <c r="C121" s="309"/>
      <c r="D121" s="309"/>
      <c r="E121" s="309"/>
      <c r="F121" s="366"/>
      <c r="G121" s="309"/>
      <c r="H121" s="309"/>
      <c r="I121" s="309"/>
    </row>
    <row r="122" spans="1:10" ht="25.5" customHeight="1">
      <c r="A122" s="460"/>
      <c r="B122" s="332"/>
      <c r="C122" s="309"/>
      <c r="D122" s="309"/>
      <c r="E122" s="309"/>
      <c r="F122" s="366"/>
      <c r="G122" s="309"/>
      <c r="H122" s="309"/>
      <c r="I122" s="309"/>
    </row>
    <row r="123" spans="1:10" ht="18.75">
      <c r="A123" s="460"/>
      <c r="B123" s="332"/>
      <c r="C123" s="309"/>
      <c r="D123" s="309"/>
      <c r="E123" s="309"/>
      <c r="F123" s="366"/>
      <c r="G123" s="309"/>
      <c r="H123" s="309"/>
      <c r="I123" s="309"/>
    </row>
    <row r="124" spans="1:10" ht="45.75" customHeight="1">
      <c r="A124" s="319" t="s">
        <v>106</v>
      </c>
      <c r="B124" s="320" t="s">
        <v>126</v>
      </c>
      <c r="C124" s="530" t="str">
        <f>B26</f>
        <v>PYRAZINAMIDE</v>
      </c>
      <c r="D124" s="530"/>
      <c r="E124" s="309" t="s">
        <v>127</v>
      </c>
      <c r="F124" s="309"/>
      <c r="G124" s="465" t="e">
        <f>F115</f>
        <v>#DIV/0!</v>
      </c>
      <c r="H124" s="309"/>
      <c r="I124" s="309"/>
    </row>
    <row r="125" spans="1:10" ht="45.75" customHeight="1">
      <c r="A125" s="319"/>
      <c r="B125" s="320" t="s">
        <v>128</v>
      </c>
      <c r="C125" s="320" t="s">
        <v>129</v>
      </c>
      <c r="D125" s="465">
        <f>MIN(F108:F113)</f>
        <v>0</v>
      </c>
      <c r="E125" s="320" t="s">
        <v>130</v>
      </c>
      <c r="F125" s="465">
        <f>MAX(F108:F113)</f>
        <v>0</v>
      </c>
      <c r="G125" s="466"/>
      <c r="H125" s="309"/>
      <c r="I125" s="309"/>
    </row>
    <row r="126" spans="1:10" ht="19.5" customHeight="1" thickBot="1">
      <c r="A126" s="467"/>
      <c r="B126" s="467"/>
      <c r="C126" s="468"/>
      <c r="D126" s="468"/>
      <c r="E126" s="468"/>
      <c r="F126" s="468"/>
      <c r="G126" s="468"/>
      <c r="H126" s="468"/>
    </row>
    <row r="127" spans="1:10" ht="18.75">
      <c r="B127" s="531" t="s">
        <v>26</v>
      </c>
      <c r="C127" s="531"/>
      <c r="E127" s="415" t="s">
        <v>27</v>
      </c>
      <c r="F127" s="469"/>
      <c r="G127" s="531" t="s">
        <v>28</v>
      </c>
      <c r="H127" s="531"/>
    </row>
    <row r="128" spans="1:10" ht="69.95" customHeight="1">
      <c r="A128" s="319" t="s">
        <v>29</v>
      </c>
      <c r="B128" s="470"/>
      <c r="C128" s="470"/>
      <c r="E128" s="470"/>
      <c r="F128" s="309"/>
      <c r="G128" s="470"/>
      <c r="H128" s="470"/>
    </row>
    <row r="129" spans="1:9" ht="69.95" customHeight="1">
      <c r="A129" s="319" t="s">
        <v>30</v>
      </c>
      <c r="B129" s="471"/>
      <c r="C129" s="471"/>
      <c r="E129" s="471"/>
      <c r="F129" s="309"/>
      <c r="G129" s="472"/>
      <c r="H129" s="472"/>
    </row>
    <row r="130" spans="1:9" ht="18.75">
      <c r="A130" s="366"/>
      <c r="B130" s="366"/>
      <c r="C130" s="366"/>
      <c r="D130" s="366"/>
      <c r="E130" s="366"/>
      <c r="F130" s="368"/>
      <c r="G130" s="366"/>
      <c r="H130" s="366"/>
      <c r="I130" s="309"/>
    </row>
    <row r="131" spans="1:9" ht="18.75">
      <c r="A131" s="366"/>
      <c r="B131" s="366"/>
      <c r="C131" s="366"/>
      <c r="D131" s="366"/>
      <c r="E131" s="366"/>
      <c r="F131" s="368"/>
      <c r="G131" s="366"/>
      <c r="H131" s="366"/>
      <c r="I131" s="309"/>
    </row>
    <row r="132" spans="1:9" ht="18.75">
      <c r="A132" s="366"/>
      <c r="B132" s="366"/>
      <c r="C132" s="366"/>
      <c r="D132" s="366"/>
      <c r="E132" s="366"/>
      <c r="F132" s="368"/>
      <c r="G132" s="366"/>
      <c r="H132" s="366"/>
      <c r="I132" s="309"/>
    </row>
    <row r="133" spans="1:9" ht="18.75">
      <c r="A133" s="366"/>
      <c r="B133" s="366"/>
      <c r="C133" s="366"/>
      <c r="D133" s="366"/>
      <c r="E133" s="366"/>
      <c r="F133" s="368"/>
      <c r="G133" s="366"/>
      <c r="H133" s="366"/>
      <c r="I133" s="309"/>
    </row>
    <row r="134" spans="1:9" ht="18.75">
      <c r="A134" s="366"/>
      <c r="B134" s="366"/>
      <c r="C134" s="366"/>
      <c r="D134" s="366"/>
      <c r="E134" s="366"/>
      <c r="F134" s="368"/>
      <c r="G134" s="366"/>
      <c r="H134" s="366"/>
      <c r="I134" s="309"/>
    </row>
    <row r="135" spans="1:9" ht="18.75">
      <c r="A135" s="366"/>
      <c r="B135" s="366"/>
      <c r="C135" s="366"/>
      <c r="D135" s="366"/>
      <c r="E135" s="366"/>
      <c r="F135" s="368"/>
      <c r="G135" s="366"/>
      <c r="H135" s="366"/>
      <c r="I135" s="309"/>
    </row>
    <row r="136" spans="1:9" ht="18.75">
      <c r="A136" s="366"/>
      <c r="B136" s="366"/>
      <c r="C136" s="366"/>
      <c r="D136" s="366"/>
      <c r="E136" s="366"/>
      <c r="F136" s="368"/>
      <c r="G136" s="366"/>
      <c r="H136" s="366"/>
      <c r="I136" s="309"/>
    </row>
    <row r="137" spans="1:9" ht="18.75">
      <c r="A137" s="366"/>
      <c r="B137" s="366"/>
      <c r="C137" s="366"/>
      <c r="D137" s="366"/>
      <c r="E137" s="366"/>
      <c r="F137" s="368"/>
      <c r="G137" s="366"/>
      <c r="H137" s="366"/>
      <c r="I137" s="309"/>
    </row>
    <row r="138" spans="1:9" ht="18.75">
      <c r="A138" s="366"/>
      <c r="B138" s="366"/>
      <c r="C138" s="366"/>
      <c r="D138" s="366"/>
      <c r="E138" s="366"/>
      <c r="F138" s="368"/>
      <c r="G138" s="366"/>
      <c r="H138" s="366"/>
      <c r="I138" s="309"/>
    </row>
    <row r="250" spans="1:1">
      <c r="A250" s="30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5" sqref="A15:G63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131</v>
      </c>
      <c r="D17" s="98"/>
      <c r="E17" s="99"/>
    </row>
    <row r="18" spans="1:6" ht="16.5" customHeight="1">
      <c r="A18" s="100" t="s">
        <v>4</v>
      </c>
      <c r="B18" s="93" t="s">
        <v>145</v>
      </c>
      <c r="C18" s="99"/>
      <c r="D18" s="99"/>
      <c r="E18" s="99"/>
    </row>
    <row r="19" spans="1:6" ht="16.5" customHeight="1">
      <c r="A19" s="100" t="s">
        <v>6</v>
      </c>
      <c r="B19" s="101">
        <v>101.45</v>
      </c>
      <c r="C19" s="99"/>
      <c r="D19" s="99"/>
      <c r="E19" s="99"/>
    </row>
    <row r="20" spans="1:6" ht="16.5" customHeight="1">
      <c r="A20" s="97" t="s">
        <v>8</v>
      </c>
      <c r="B20" s="101">
        <v>23.29</v>
      </c>
      <c r="C20" s="99"/>
      <c r="D20" s="99"/>
      <c r="E20" s="99"/>
    </row>
    <row r="21" spans="1:6" ht="16.5" customHeight="1">
      <c r="A21" s="97" t="s">
        <v>10</v>
      </c>
      <c r="B21" s="102">
        <f>23.29/50</f>
        <v>0.46579999999999999</v>
      </c>
      <c r="C21" s="99"/>
      <c r="D21" s="99"/>
      <c r="E21" s="99"/>
    </row>
    <row r="22" spans="1:6" ht="15.75" customHeight="1">
      <c r="A22" s="99"/>
      <c r="B22" s="99" t="s">
        <v>133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136</v>
      </c>
    </row>
    <row r="24" spans="1:6" ht="16.5" customHeight="1">
      <c r="A24" s="106">
        <v>1</v>
      </c>
      <c r="B24" s="107">
        <v>35493490</v>
      </c>
      <c r="C24" s="107">
        <v>6840.3</v>
      </c>
      <c r="D24" s="108">
        <v>1.4</v>
      </c>
      <c r="E24" s="109">
        <v>4.9000000000000004</v>
      </c>
      <c r="F24" s="110">
        <v>3.1</v>
      </c>
    </row>
    <row r="25" spans="1:6" ht="16.5" customHeight="1">
      <c r="A25" s="106">
        <v>2</v>
      </c>
      <c r="B25" s="107">
        <v>35346558</v>
      </c>
      <c r="C25" s="107">
        <v>6850.6</v>
      </c>
      <c r="D25" s="108">
        <v>1.5</v>
      </c>
      <c r="E25" s="111">
        <v>4.9000000000000004</v>
      </c>
      <c r="F25" s="110">
        <v>3.1</v>
      </c>
    </row>
    <row r="26" spans="1:6" ht="16.5" customHeight="1">
      <c r="A26" s="106">
        <v>3</v>
      </c>
      <c r="B26" s="107">
        <v>35165919</v>
      </c>
      <c r="C26" s="107">
        <v>6858.5</v>
      </c>
      <c r="D26" s="108">
        <v>1.4</v>
      </c>
      <c r="E26" s="111">
        <v>4.9000000000000004</v>
      </c>
      <c r="F26" s="110">
        <v>3.1</v>
      </c>
    </row>
    <row r="27" spans="1:6" ht="16.5" customHeight="1">
      <c r="A27" s="106">
        <v>4</v>
      </c>
      <c r="B27" s="107">
        <v>34716684</v>
      </c>
      <c r="C27" s="107">
        <v>6899</v>
      </c>
      <c r="D27" s="108">
        <v>1.4</v>
      </c>
      <c r="E27" s="111">
        <v>4.9000000000000004</v>
      </c>
      <c r="F27" s="110">
        <v>3.1</v>
      </c>
    </row>
    <row r="28" spans="1:6" ht="16.5" customHeight="1">
      <c r="A28" s="106">
        <v>5</v>
      </c>
      <c r="B28" s="107">
        <v>35320973</v>
      </c>
      <c r="C28" s="107">
        <v>6886.8</v>
      </c>
      <c r="D28" s="108">
        <v>1.4</v>
      </c>
      <c r="E28" s="111">
        <v>4.9000000000000004</v>
      </c>
      <c r="F28" s="110">
        <v>3.1</v>
      </c>
    </row>
    <row r="29" spans="1:6" ht="16.5" customHeight="1">
      <c r="A29" s="106">
        <v>6</v>
      </c>
      <c r="B29" s="112">
        <v>35234342</v>
      </c>
      <c r="C29" s="112">
        <v>6856</v>
      </c>
      <c r="D29" s="113">
        <v>1.5</v>
      </c>
      <c r="E29" s="114">
        <v>4.9000000000000004</v>
      </c>
      <c r="F29" s="110">
        <v>3.1</v>
      </c>
    </row>
    <row r="30" spans="1:6" ht="16.5" customHeight="1">
      <c r="A30" s="115" t="s">
        <v>18</v>
      </c>
      <c r="B30" s="116">
        <f>AVERAGE(B24:B29)</f>
        <v>35212994.333333336</v>
      </c>
      <c r="C30" s="117">
        <f>AVERAGE(C24:C29)</f>
        <v>6865.2000000000007</v>
      </c>
      <c r="D30" s="118">
        <v>0.9</v>
      </c>
      <c r="E30" s="119">
        <f>AVERAGE(E24:E29)</f>
        <v>4.8999999999999995</v>
      </c>
      <c r="F30" s="473">
        <v>5.4</v>
      </c>
    </row>
    <row r="31" spans="1:6" ht="16.5" customHeight="1">
      <c r="A31" s="121" t="s">
        <v>19</v>
      </c>
      <c r="B31" s="122">
        <f>(STDEV(B24:B29)/B30)</f>
        <v>7.5901590830013167E-3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22</v>
      </c>
      <c r="C34" s="132"/>
      <c r="D34" s="132"/>
      <c r="E34" s="132"/>
    </row>
    <row r="35" spans="1:5" ht="16.5" customHeight="1">
      <c r="A35" s="100"/>
      <c r="B35" s="131" t="s">
        <v>146</v>
      </c>
      <c r="C35" s="132"/>
      <c r="D35" s="132"/>
      <c r="E35" s="132"/>
    </row>
    <row r="36" spans="1:5" ht="16.5" customHeight="1">
      <c r="A36" s="100"/>
      <c r="B36" s="131" t="s">
        <v>24</v>
      </c>
      <c r="C36" s="132"/>
      <c r="D36" s="132"/>
      <c r="E36" s="132"/>
    </row>
    <row r="37" spans="1:5" ht="15.75" customHeight="1">
      <c r="A37" s="99"/>
      <c r="B37" s="99" t="s">
        <v>138</v>
      </c>
      <c r="C37" s="99"/>
      <c r="D37" s="99"/>
      <c r="E37" s="99"/>
    </row>
    <row r="38" spans="1:5" ht="16.5" customHeight="1">
      <c r="A38" s="95" t="s">
        <v>1</v>
      </c>
      <c r="B38" s="96" t="s">
        <v>25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22</v>
      </c>
      <c r="C55" s="132"/>
      <c r="D55" s="132"/>
      <c r="E55" s="132"/>
    </row>
    <row r="56" spans="1:7" ht="16.5" customHeight="1">
      <c r="A56" s="100"/>
      <c r="B56" s="131" t="s">
        <v>23</v>
      </c>
      <c r="C56" s="132"/>
      <c r="D56" s="132"/>
      <c r="E56" s="132"/>
    </row>
    <row r="57" spans="1:7" ht="16.5" customHeight="1">
      <c r="A57" s="100"/>
      <c r="B57" s="131" t="s">
        <v>24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26</v>
      </c>
      <c r="C59" s="479"/>
      <c r="E59" s="140" t="s">
        <v>27</v>
      </c>
      <c r="F59" s="141"/>
      <c r="G59" s="140" t="s">
        <v>28</v>
      </c>
    </row>
    <row r="60" spans="1:7" ht="15" customHeight="1">
      <c r="A60" s="142" t="s">
        <v>29</v>
      </c>
      <c r="B60" s="143"/>
      <c r="C60" s="143"/>
      <c r="E60" s="143"/>
      <c r="G60" s="143"/>
    </row>
    <row r="61" spans="1:7" ht="15" customHeight="1">
      <c r="A61" s="142" t="s">
        <v>30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H54"/>
  <sheetViews>
    <sheetView tabSelected="1" view="pageBreakPreview" workbookViewId="0">
      <selection activeCell="A11" sqref="A11:F56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62" t="s">
        <v>31</v>
      </c>
      <c r="B11" s="563"/>
      <c r="C11" s="563"/>
      <c r="D11" s="563"/>
      <c r="E11" s="563"/>
      <c r="F11" s="564"/>
      <c r="G11" s="41"/>
    </row>
    <row r="12" spans="1:7" ht="16.5" customHeight="1">
      <c r="A12" s="561" t="s">
        <v>32</v>
      </c>
      <c r="B12" s="561"/>
      <c r="C12" s="561"/>
      <c r="D12" s="561"/>
      <c r="E12" s="561"/>
      <c r="F12" s="561"/>
      <c r="G12" s="40"/>
    </row>
    <row r="14" spans="1:7" ht="16.5" customHeight="1">
      <c r="A14" s="566" t="s">
        <v>33</v>
      </c>
      <c r="B14" s="566"/>
      <c r="C14" s="10" t="s">
        <v>5</v>
      </c>
    </row>
    <row r="15" spans="1:7" ht="16.5" customHeight="1">
      <c r="A15" s="566" t="s">
        <v>34</v>
      </c>
      <c r="B15" s="566"/>
      <c r="C15" s="10" t="s">
        <v>7</v>
      </c>
    </row>
    <row r="16" spans="1:7" ht="16.5" customHeight="1">
      <c r="A16" s="566" t="s">
        <v>35</v>
      </c>
      <c r="B16" s="566"/>
      <c r="C16" s="10" t="s">
        <v>9</v>
      </c>
    </row>
    <row r="17" spans="1:5" ht="16.5" customHeight="1">
      <c r="A17" s="566" t="s">
        <v>36</v>
      </c>
      <c r="B17" s="566"/>
      <c r="C17" s="10" t="s">
        <v>11</v>
      </c>
    </row>
    <row r="18" spans="1:5" ht="16.5" customHeight="1">
      <c r="A18" s="566" t="s">
        <v>37</v>
      </c>
      <c r="B18" s="566"/>
      <c r="C18" s="47" t="s">
        <v>12</v>
      </c>
    </row>
    <row r="19" spans="1:5" ht="16.5" customHeight="1">
      <c r="A19" s="566" t="s">
        <v>38</v>
      </c>
      <c r="B19" s="566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61" t="s">
        <v>1</v>
      </c>
      <c r="B21" s="561"/>
      <c r="C21" s="9" t="s">
        <v>39</v>
      </c>
      <c r="D21" s="16"/>
    </row>
    <row r="22" spans="1:5" ht="15.75" customHeight="1">
      <c r="A22" s="565"/>
      <c r="B22" s="565"/>
      <c r="C22" s="7"/>
      <c r="D22" s="565"/>
      <c r="E22" s="565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478.19</v>
      </c>
      <c r="D24" s="37">
        <f t="shared" ref="D24:D43" si="0">(C24-$C$46)/$C$46</f>
        <v>-7.283601672000161E-3</v>
      </c>
      <c r="E24" s="3"/>
    </row>
    <row r="25" spans="1:5" ht="15.75" customHeight="1">
      <c r="C25" s="45">
        <v>479.34</v>
      </c>
      <c r="D25" s="38">
        <f t="shared" si="0"/>
        <v>-4.8962162016281813E-3</v>
      </c>
      <c r="E25" s="3"/>
    </row>
    <row r="26" spans="1:5" ht="15.75" customHeight="1">
      <c r="C26" s="45">
        <v>480.61</v>
      </c>
      <c r="D26" s="38">
        <f t="shared" si="0"/>
        <v>-2.2597122473911662E-3</v>
      </c>
      <c r="E26" s="3"/>
    </row>
    <row r="27" spans="1:5" ht="15.75" customHeight="1">
      <c r="C27" s="45">
        <v>481.32</v>
      </c>
      <c r="D27" s="38">
        <f t="shared" si="0"/>
        <v>-7.8576121785717441E-4</v>
      </c>
      <c r="E27" s="3"/>
    </row>
    <row r="28" spans="1:5" ht="15.75" customHeight="1">
      <c r="C28" s="45">
        <v>481.58</v>
      </c>
      <c r="D28" s="38">
        <f t="shared" si="0"/>
        <v>-2.4600450281656093E-4</v>
      </c>
      <c r="E28" s="3"/>
    </row>
    <row r="29" spans="1:5" ht="15.75" customHeight="1">
      <c r="C29" s="45">
        <v>482.24</v>
      </c>
      <c r="D29" s="38">
        <f t="shared" si="0"/>
        <v>1.1241471584404806E-3</v>
      </c>
      <c r="E29" s="3"/>
    </row>
    <row r="30" spans="1:5" ht="15.75" customHeight="1">
      <c r="C30" s="45">
        <v>481.37</v>
      </c>
      <c r="D30" s="38">
        <f t="shared" si="0"/>
        <v>-6.8196184958010605E-4</v>
      </c>
      <c r="E30" s="3"/>
    </row>
    <row r="31" spans="1:5" ht="15.75" customHeight="1">
      <c r="C31" s="45">
        <v>483.89</v>
      </c>
      <c r="D31" s="38">
        <f t="shared" si="0"/>
        <v>4.5495263115829078E-3</v>
      </c>
      <c r="E31" s="3"/>
    </row>
    <row r="32" spans="1:5" ht="15.75" customHeight="1">
      <c r="C32" s="45">
        <v>482.17</v>
      </c>
      <c r="D32" s="38">
        <f t="shared" si="0"/>
        <v>9.788280428526322E-4</v>
      </c>
      <c r="E32" s="3"/>
    </row>
    <row r="33" spans="1:7" ht="15.75" customHeight="1">
      <c r="C33" s="45">
        <v>481.24</v>
      </c>
      <c r="D33" s="38">
        <f t="shared" si="0"/>
        <v>-9.518402071004128E-4</v>
      </c>
      <c r="E33" s="3"/>
    </row>
    <row r="34" spans="1:7" ht="15.75" customHeight="1">
      <c r="C34" s="45">
        <v>480.9</v>
      </c>
      <c r="D34" s="38">
        <f t="shared" si="0"/>
        <v>-1.6576759113843826E-3</v>
      </c>
      <c r="E34" s="3"/>
    </row>
    <row r="35" spans="1:7" ht="15.75" customHeight="1">
      <c r="C35" s="45">
        <v>480.15</v>
      </c>
      <c r="D35" s="38">
        <f t="shared" si="0"/>
        <v>-3.2146664355400529E-3</v>
      </c>
      <c r="E35" s="3"/>
    </row>
    <row r="36" spans="1:7" ht="15.75" customHeight="1">
      <c r="C36" s="45">
        <v>480.98</v>
      </c>
      <c r="D36" s="38">
        <f t="shared" si="0"/>
        <v>-1.4915969221410263E-3</v>
      </c>
      <c r="E36" s="3"/>
    </row>
    <row r="37" spans="1:7" ht="15.75" customHeight="1">
      <c r="C37" s="45">
        <v>482.5</v>
      </c>
      <c r="D37" s="38">
        <f t="shared" si="0"/>
        <v>1.6639038734810941E-3</v>
      </c>
      <c r="E37" s="3"/>
    </row>
    <row r="38" spans="1:7" ht="15.75" customHeight="1">
      <c r="C38" s="45">
        <v>482.18</v>
      </c>
      <c r="D38" s="38">
        <f t="shared" si="0"/>
        <v>9.9958791650802238E-4</v>
      </c>
      <c r="E38" s="3"/>
    </row>
    <row r="39" spans="1:7" ht="15.75" customHeight="1">
      <c r="C39" s="45">
        <v>480.08</v>
      </c>
      <c r="D39" s="38">
        <f t="shared" si="0"/>
        <v>-3.3599855511279009E-3</v>
      </c>
      <c r="E39" s="3"/>
    </row>
    <row r="40" spans="1:7" ht="15.75" customHeight="1">
      <c r="C40" s="45">
        <v>483.63</v>
      </c>
      <c r="D40" s="38">
        <f t="shared" si="0"/>
        <v>4.0097695965422946E-3</v>
      </c>
      <c r="E40" s="3"/>
    </row>
    <row r="41" spans="1:7" ht="15.75" customHeight="1">
      <c r="C41" s="45">
        <v>485.19</v>
      </c>
      <c r="D41" s="38">
        <f t="shared" si="0"/>
        <v>7.248309886786093E-3</v>
      </c>
      <c r="E41" s="3"/>
    </row>
    <row r="42" spans="1:7" ht="15.75" customHeight="1">
      <c r="C42" s="45">
        <v>483.04</v>
      </c>
      <c r="D42" s="38">
        <f t="shared" si="0"/>
        <v>2.7849370508732192E-3</v>
      </c>
      <c r="E42" s="3"/>
    </row>
    <row r="43" spans="1:7" ht="16.5" customHeight="1">
      <c r="C43" s="46">
        <v>483.37</v>
      </c>
      <c r="D43" s="39">
        <f t="shared" si="0"/>
        <v>3.4700128815016809E-3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9633.9699999999993</v>
      </c>
      <c r="D45" s="28"/>
      <c r="E45" s="4"/>
    </row>
    <row r="46" spans="1:7" ht="17.25" customHeight="1">
      <c r="B46" s="32" t="s">
        <v>43</v>
      </c>
      <c r="C46" s="34">
        <f>AVERAGE(C24:C44)</f>
        <v>481.69849999999997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59">
        <f>C46</f>
        <v>481.69849999999997</v>
      </c>
      <c r="C49" s="43">
        <f>-IF(C46&lt;=80,10%,IF(C46&lt;250,7.5%,5%))</f>
        <v>-0.05</v>
      </c>
      <c r="D49" s="31">
        <f>IF(C46&lt;=80,C46*0.9,IF(C46&lt;250,C46*0.925,C46*0.95))</f>
        <v>457.61357499999997</v>
      </c>
    </row>
    <row r="50" spans="1:6" ht="17.25" customHeight="1">
      <c r="B50" s="560"/>
      <c r="C50" s="44">
        <f>IF(C46&lt;=80, 10%, IF(C46&lt;250, 7.5%, 5%))</f>
        <v>0.05</v>
      </c>
      <c r="D50" s="31">
        <f>IF(C46&lt;=80, C46*1.1, IF(C46&lt;250, C46*1.075, C46*1.05))</f>
        <v>505.78342499999997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RIF SST</vt:lpstr>
      <vt:lpstr>ISO SST</vt:lpstr>
      <vt:lpstr>Rifampicin</vt:lpstr>
      <vt:lpstr>isoniazid</vt:lpstr>
      <vt:lpstr>PYRAZINAMIDE</vt:lpstr>
      <vt:lpstr>sst Pyrazinamide</vt:lpstr>
      <vt:lpstr>Uniformity</vt:lpstr>
      <vt:lpstr>'ISO SST'!Print_Area</vt:lpstr>
      <vt:lpstr>isoniazid!Print_Area</vt:lpstr>
      <vt:lpstr>PYRAZINAMIDE!Print_Area</vt:lpstr>
      <vt:lpstr>'RIF SST'!Print_Area</vt:lpstr>
      <vt:lpstr>Rifampicin!Print_Area</vt:lpstr>
      <vt:lpstr>'sst Pyrazinamide'!Print_Area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2018-02-23T09:29:20Z</cp:lastPrinted>
  <dcterms:created xsi:type="dcterms:W3CDTF">2005-07-05T10:19:27Z</dcterms:created>
  <dcterms:modified xsi:type="dcterms:W3CDTF">2018-02-23T09:34:58Z</dcterms:modified>
</cp:coreProperties>
</file>