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2"/>
  </bookViews>
  <sheets>
    <sheet name="Uniformity" sheetId="2" r:id="rId1"/>
    <sheet name="RIF SST" sheetId="6" r:id="rId2"/>
    <sheet name="Rifampicin" sheetId="8" r:id="rId3"/>
    <sheet name="ISO SST" sheetId="7" r:id="rId4"/>
    <sheet name="Isoniazid" sheetId="9" r:id="rId5"/>
    <sheet name="PYR SST" sheetId="11" r:id="rId6"/>
    <sheet name="Pyrazinamide" sheetId="10" r:id="rId7"/>
    <sheet name="Friability" sheetId="12" r:id="rId8"/>
  </sheets>
  <definedNames>
    <definedName name="_xlnm.Print_Area" localSheetId="3">'ISO SST'!$A$1:$E$61</definedName>
    <definedName name="_xlnm.Print_Area" localSheetId="4">Isoniazid!$A$1:$H$129</definedName>
    <definedName name="_xlnm.Print_Area" localSheetId="5">'PYR SST'!$A$1:$F$61</definedName>
    <definedName name="_xlnm.Print_Area" localSheetId="6">Pyrazinamide!$A$1:$H$129</definedName>
    <definedName name="_xlnm.Print_Area" localSheetId="1">'RIF SST'!$A$1:$F$61</definedName>
    <definedName name="_xlnm.Print_Area" localSheetId="2">Rifampicin!$A$1:$I$129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F30" i="6" l="1"/>
  <c r="B31" i="6"/>
  <c r="F3" i="12"/>
  <c r="F4" i="12" s="1"/>
  <c r="B57" i="10" l="1"/>
  <c r="B57" i="9"/>
  <c r="B57" i="8"/>
  <c r="B21" i="11" l="1"/>
  <c r="B21" i="6"/>
  <c r="B21" i="7"/>
  <c r="B53" i="11" l="1"/>
  <c r="E51" i="11"/>
  <c r="D51" i="11"/>
  <c r="C51" i="11"/>
  <c r="B51" i="11"/>
  <c r="B52" i="11" s="1"/>
  <c r="B32" i="11"/>
  <c r="E30" i="11"/>
  <c r="C30" i="11"/>
  <c r="B30" i="11"/>
  <c r="B31" i="11" s="1"/>
  <c r="C124" i="10"/>
  <c r="B116" i="10"/>
  <c r="F113" i="10"/>
  <c r="E113" i="10"/>
  <c r="F112" i="10"/>
  <c r="E112" i="10"/>
  <c r="F111" i="10"/>
  <c r="E111" i="10"/>
  <c r="F110" i="10"/>
  <c r="E110" i="10"/>
  <c r="F109" i="10"/>
  <c r="E109" i="10"/>
  <c r="E120" i="10" s="1"/>
  <c r="F108" i="10"/>
  <c r="E108" i="10"/>
  <c r="D100" i="10"/>
  <c r="D101" i="10" s="1"/>
  <c r="D102" i="10" s="1"/>
  <c r="B98" i="10"/>
  <c r="F95" i="10"/>
  <c r="I92" i="10" s="1"/>
  <c r="D95" i="10"/>
  <c r="G94" i="10"/>
  <c r="E94" i="10"/>
  <c r="G93" i="10"/>
  <c r="E93" i="10"/>
  <c r="G92" i="10"/>
  <c r="G95" i="10" s="1"/>
  <c r="E92" i="10"/>
  <c r="G91" i="10"/>
  <c r="E91" i="10"/>
  <c r="B87" i="10"/>
  <c r="F97" i="10" s="1"/>
  <c r="F98" i="10" s="1"/>
  <c r="F99" i="10" s="1"/>
  <c r="B83" i="10"/>
  <c r="C76" i="10"/>
  <c r="H71" i="10"/>
  <c r="G71" i="10"/>
  <c r="B68" i="10"/>
  <c r="H67" i="10"/>
  <c r="G67" i="10"/>
  <c r="H63" i="10"/>
  <c r="G63" i="10"/>
  <c r="B69" i="10"/>
  <c r="C56" i="10"/>
  <c r="B55" i="10"/>
  <c r="B45" i="10"/>
  <c r="D48" i="10" s="1"/>
  <c r="D49" i="10" s="1"/>
  <c r="D44" i="10"/>
  <c r="D45" i="10" s="1"/>
  <c r="D46" i="10" s="1"/>
  <c r="F42" i="10"/>
  <c r="D42" i="10"/>
  <c r="G41" i="10"/>
  <c r="E41" i="10"/>
  <c r="B34" i="10"/>
  <c r="F44" i="10" s="1"/>
  <c r="F45" i="10" s="1"/>
  <c r="F46" i="10" s="1"/>
  <c r="B30" i="10"/>
  <c r="C124" i="9"/>
  <c r="B116" i="9"/>
  <c r="F113" i="9"/>
  <c r="E113" i="9"/>
  <c r="F112" i="9"/>
  <c r="E112" i="9"/>
  <c r="F111" i="9"/>
  <c r="E111" i="9"/>
  <c r="F110" i="9"/>
  <c r="E110" i="9"/>
  <c r="F109" i="9"/>
  <c r="E109" i="9"/>
  <c r="E120" i="9" s="1"/>
  <c r="F108" i="9"/>
  <c r="F125" i="9" s="1"/>
  <c r="E108" i="9"/>
  <c r="D100" i="9"/>
  <c r="B98" i="9"/>
  <c r="F95" i="9"/>
  <c r="I92" i="9" s="1"/>
  <c r="D95" i="9"/>
  <c r="G94" i="9"/>
  <c r="E94" i="9"/>
  <c r="D103" i="9" s="1"/>
  <c r="D104" i="9" s="1"/>
  <c r="G93" i="9"/>
  <c r="E93" i="9"/>
  <c r="G92" i="9"/>
  <c r="E92" i="9"/>
  <c r="G91" i="9"/>
  <c r="E91" i="9"/>
  <c r="B87" i="9"/>
  <c r="F97" i="9" s="1"/>
  <c r="B83" i="9"/>
  <c r="C76" i="9"/>
  <c r="H71" i="9"/>
  <c r="G71" i="9"/>
  <c r="B69" i="9"/>
  <c r="B68" i="9"/>
  <c r="H67" i="9"/>
  <c r="G67" i="9"/>
  <c r="H63" i="9"/>
  <c r="G63" i="9"/>
  <c r="C56" i="9"/>
  <c r="B55" i="9"/>
  <c r="B45" i="9"/>
  <c r="D48" i="9" s="1"/>
  <c r="F42" i="9"/>
  <c r="D42" i="9"/>
  <c r="G41" i="9"/>
  <c r="E41" i="9"/>
  <c r="B34" i="9"/>
  <c r="F44" i="9" s="1"/>
  <c r="F45" i="9" s="1"/>
  <c r="B30" i="9"/>
  <c r="C124" i="8"/>
  <c r="F120" i="8"/>
  <c r="B116" i="8"/>
  <c r="F113" i="8"/>
  <c r="E113" i="8"/>
  <c r="F112" i="8"/>
  <c r="E112" i="8"/>
  <c r="F111" i="8"/>
  <c r="E111" i="8"/>
  <c r="F110" i="8"/>
  <c r="E110" i="8"/>
  <c r="F109" i="8"/>
  <c r="E109" i="8"/>
  <c r="E119" i="8" s="1"/>
  <c r="F108" i="8"/>
  <c r="F125" i="8" s="1"/>
  <c r="E108" i="8"/>
  <c r="D100" i="8"/>
  <c r="B98" i="8"/>
  <c r="F95" i="8"/>
  <c r="D95" i="8"/>
  <c r="G94" i="8"/>
  <c r="E94" i="8"/>
  <c r="G93" i="8"/>
  <c r="E93" i="8"/>
  <c r="I92" i="8"/>
  <c r="G92" i="8"/>
  <c r="E92" i="8"/>
  <c r="G91" i="8"/>
  <c r="E91" i="8"/>
  <c r="B87" i="8"/>
  <c r="D97" i="8" s="1"/>
  <c r="D98" i="8" s="1"/>
  <c r="D99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D49" i="8" s="1"/>
  <c r="F42" i="8"/>
  <c r="D42" i="8"/>
  <c r="G41" i="8"/>
  <c r="E41" i="8"/>
  <c r="B34" i="8"/>
  <c r="D44" i="8" s="1"/>
  <c r="B30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C46" i="2"/>
  <c r="C45" i="2"/>
  <c r="D39" i="2"/>
  <c r="D31" i="2"/>
  <c r="D25" i="2"/>
  <c r="C19" i="2"/>
  <c r="I39" i="8" l="1"/>
  <c r="D49" i="9"/>
  <c r="G38" i="9"/>
  <c r="G40" i="9"/>
  <c r="D45" i="8"/>
  <c r="E39" i="8" s="1"/>
  <c r="D105" i="8"/>
  <c r="G95" i="8"/>
  <c r="D101" i="8"/>
  <c r="D102" i="8" s="1"/>
  <c r="F98" i="9"/>
  <c r="F99" i="9" s="1"/>
  <c r="G95" i="9"/>
  <c r="D101" i="9"/>
  <c r="D102" i="9" s="1"/>
  <c r="D103" i="10"/>
  <c r="D104" i="10" s="1"/>
  <c r="E115" i="10"/>
  <c r="E116" i="10" s="1"/>
  <c r="E115" i="8"/>
  <c r="E116" i="8" s="1"/>
  <c r="D44" i="9"/>
  <c r="D45" i="9" s="1"/>
  <c r="E95" i="9"/>
  <c r="E115" i="9"/>
  <c r="E116" i="9" s="1"/>
  <c r="F125" i="10"/>
  <c r="B69" i="8"/>
  <c r="D125" i="8"/>
  <c r="F117" i="8"/>
  <c r="E117" i="9"/>
  <c r="E38" i="10"/>
  <c r="I39" i="10"/>
  <c r="G39" i="9"/>
  <c r="I39" i="9"/>
  <c r="D46" i="8"/>
  <c r="D46" i="9"/>
  <c r="E39" i="9"/>
  <c r="E40" i="9"/>
  <c r="E38" i="9"/>
  <c r="F44" i="8"/>
  <c r="F45" i="8" s="1"/>
  <c r="F46" i="8" s="1"/>
  <c r="E95" i="8"/>
  <c r="F97" i="8"/>
  <c r="F98" i="8" s="1"/>
  <c r="F99" i="8" s="1"/>
  <c r="F119" i="8"/>
  <c r="F46" i="9"/>
  <c r="D97" i="9"/>
  <c r="D98" i="9" s="1"/>
  <c r="D99" i="9" s="1"/>
  <c r="D105" i="9"/>
  <c r="E119" i="9"/>
  <c r="E39" i="10"/>
  <c r="G40" i="10"/>
  <c r="D97" i="10"/>
  <c r="D98" i="10" s="1"/>
  <c r="D99" i="10" s="1"/>
  <c r="D105" i="10"/>
  <c r="E119" i="10"/>
  <c r="D103" i="8"/>
  <c r="D104" i="8" s="1"/>
  <c r="F115" i="8"/>
  <c r="E117" i="8"/>
  <c r="E120" i="8"/>
  <c r="F119" i="9"/>
  <c r="G39" i="10"/>
  <c r="E95" i="10"/>
  <c r="F119" i="10"/>
  <c r="F115" i="9"/>
  <c r="D125" i="9"/>
  <c r="F115" i="10"/>
  <c r="E117" i="10"/>
  <c r="D125" i="10"/>
  <c r="G38" i="8"/>
  <c r="F117" i="9"/>
  <c r="F120" i="9"/>
  <c r="G38" i="10"/>
  <c r="E40" i="10"/>
  <c r="F117" i="10"/>
  <c r="F120" i="10"/>
  <c r="D49" i="2"/>
  <c r="D40" i="2"/>
  <c r="D36" i="2"/>
  <c r="D32" i="2"/>
  <c r="D28" i="2"/>
  <c r="D24" i="2"/>
  <c r="D50" i="2"/>
  <c r="B49" i="2"/>
  <c r="D42" i="2"/>
  <c r="D38" i="2"/>
  <c r="D34" i="2"/>
  <c r="D30" i="2"/>
  <c r="D26" i="2"/>
  <c r="D33" i="2"/>
  <c r="D41" i="2"/>
  <c r="C49" i="2"/>
  <c r="D27" i="2"/>
  <c r="D35" i="2"/>
  <c r="D43" i="2"/>
  <c r="C50" i="2"/>
  <c r="D29" i="2"/>
  <c r="D37" i="2"/>
  <c r="G42" i="10" l="1"/>
  <c r="G42" i="9"/>
  <c r="E38" i="8"/>
  <c r="E40" i="8"/>
  <c r="E42" i="8" s="1"/>
  <c r="D50" i="10"/>
  <c r="G64" i="10" s="1"/>
  <c r="H64" i="10" s="1"/>
  <c r="G124" i="10"/>
  <c r="F116" i="10"/>
  <c r="E42" i="10"/>
  <c r="G124" i="8"/>
  <c r="F116" i="8"/>
  <c r="D52" i="10"/>
  <c r="G124" i="9"/>
  <c r="F116" i="9"/>
  <c r="D50" i="9"/>
  <c r="E42" i="9"/>
  <c r="D52" i="9"/>
  <c r="G39" i="8"/>
  <c r="G40" i="8"/>
  <c r="G69" i="10" l="1"/>
  <c r="H69" i="10" s="1"/>
  <c r="D51" i="10"/>
  <c r="G60" i="10"/>
  <c r="H60" i="10" s="1"/>
  <c r="G70" i="10"/>
  <c r="H70" i="10" s="1"/>
  <c r="G61" i="10"/>
  <c r="H61" i="10" s="1"/>
  <c r="G66" i="10"/>
  <c r="H66" i="10" s="1"/>
  <c r="G68" i="10"/>
  <c r="H68" i="10" s="1"/>
  <c r="G62" i="10"/>
  <c r="H62" i="10" s="1"/>
  <c r="G65" i="10"/>
  <c r="H65" i="10" s="1"/>
  <c r="D52" i="8"/>
  <c r="G69" i="9"/>
  <c r="H69" i="9" s="1"/>
  <c r="G66" i="9"/>
  <c r="H66" i="9" s="1"/>
  <c r="G64" i="9"/>
  <c r="H64" i="9" s="1"/>
  <c r="G62" i="9"/>
  <c r="H62" i="9" s="1"/>
  <c r="G60" i="9"/>
  <c r="G70" i="9"/>
  <c r="H70" i="9" s="1"/>
  <c r="G65" i="9"/>
  <c r="H65" i="9" s="1"/>
  <c r="G68" i="9"/>
  <c r="H68" i="9" s="1"/>
  <c r="G61" i="9"/>
  <c r="H61" i="9" s="1"/>
  <c r="D51" i="9"/>
  <c r="G42" i="8"/>
  <c r="D50" i="8"/>
  <c r="G64" i="8" s="1"/>
  <c r="H64" i="8" s="1"/>
  <c r="G72" i="10" l="1"/>
  <c r="G73" i="10" s="1"/>
  <c r="G74" i="10"/>
  <c r="G68" i="8"/>
  <c r="H68" i="8" s="1"/>
  <c r="G62" i="8"/>
  <c r="H62" i="8" s="1"/>
  <c r="G69" i="8"/>
  <c r="H69" i="8" s="1"/>
  <c r="D51" i="8"/>
  <c r="G60" i="8"/>
  <c r="G70" i="8"/>
  <c r="H70" i="8" s="1"/>
  <c r="G65" i="8"/>
  <c r="H65" i="8" s="1"/>
  <c r="G61" i="8"/>
  <c r="H61" i="8" s="1"/>
  <c r="G66" i="8"/>
  <c r="H66" i="8" s="1"/>
  <c r="H74" i="10"/>
  <c r="H72" i="10"/>
  <c r="H60" i="9"/>
  <c r="G74" i="9"/>
  <c r="G72" i="9"/>
  <c r="G73" i="9" s="1"/>
  <c r="H74" i="9" l="1"/>
  <c r="H72" i="9"/>
  <c r="G76" i="10"/>
  <c r="H73" i="10"/>
  <c r="H60" i="8"/>
  <c r="G74" i="8"/>
  <c r="G72" i="8"/>
  <c r="G73" i="8" s="1"/>
  <c r="G76" i="9" l="1"/>
  <c r="H73" i="9"/>
  <c r="H74" i="8"/>
  <c r="H72" i="8"/>
  <c r="G76" i="8" l="1"/>
  <c r="H73" i="8"/>
</calcChain>
</file>

<file path=xl/sharedStrings.xml><?xml version="1.0" encoding="utf-8"?>
<sst xmlns="http://schemas.openxmlformats.org/spreadsheetml/2006/main" count="669" uniqueCount="149">
  <si>
    <t>HPLC System Suitability Report</t>
  </si>
  <si>
    <t>Analysis Data</t>
  </si>
  <si>
    <t>Assay</t>
  </si>
  <si>
    <t>Sample(s)</t>
  </si>
  <si>
    <t>Reference Substance:</t>
  </si>
  <si>
    <t xml:space="preserve">RIFAMPICIN 75 mg,ISONIAZID 50 mg &amp; PYRAZINAMIDE 150 mg DISPERSIBLE TABLETS </t>
  </si>
  <si>
    <t>% age Purity:</t>
  </si>
  <si>
    <t>NDQB201709223</t>
  </si>
  <si>
    <t>Weight (mg):</t>
  </si>
  <si>
    <t>Rifampicin, Isoniazid &amp; Pyrazinamide</t>
  </si>
  <si>
    <t>Standard Conc (mg/mL):</t>
  </si>
  <si>
    <t>Each dispersible tablet contains: Rifampicin 75 BP mg, Isoniazid 50 BP mg and Pyrazinamide BP 150 mg.</t>
  </si>
  <si>
    <t>2017-09-28 08:34:42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</si>
  <si>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</si>
  <si>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</si>
  <si>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</si>
  <si>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</si>
  <si>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</si>
  <si>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</si>
  <si>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</si>
  <si>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</si>
  <si>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</si>
  <si>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</si>
  <si>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</si>
  <si>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</si>
  <si>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</si>
  <si>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</si>
  <si>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</si>
  <si>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</si>
  <si>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</si>
  <si>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</si>
  <si>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</si>
  <si>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</si>
  <si>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</si>
  <si>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</si>
  <si>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</si>
  <si>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</si>
  <si>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</si>
  <si>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</si>
  <si>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</si>
  <si>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</si>
  <si>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</si>
  <si>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</si>
  <si>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</si>
  <si>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</si>
  <si>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</si>
  <si>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</si>
  <si>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</si>
  <si>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</si>
  <si>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</si>
  <si>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</si>
  <si>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</si>
  <si>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</si>
  <si>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</si>
  <si>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</si>
  <si>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</si>
  <si>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</si>
  <si>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</si>
  <si>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</si>
  <si>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</si>
  <si>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</si>
  <si>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</si>
  <si>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</si>
  <si>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</si>
  <si>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</si>
  <si>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</si>
  <si>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</si>
  <si>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</si>
  <si>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</si>
  <si>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</si>
  <si>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</si>
  <si>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</si>
  <si>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</si>
  <si>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</si>
  <si>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</si>
  <si>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</si>
  <si>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</si>
  <si>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</si>
  <si>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</si>
  <si>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</si>
  <si>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</si>
  <si>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</si>
  <si>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</si>
  <si>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</si>
  <si>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</si>
  <si>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</si>
  <si>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</si>
  <si>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</si>
  <si>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</si>
  <si>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</si>
  <si>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</si>
  <si>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</si>
  <si>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</si>
  <si>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</si>
  <si>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</si>
  <si>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</si>
  <si>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</si>
  <si>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</si>
  <si>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</si>
  <si>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</si>
  <si>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</si>
  <si>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</si>
  <si>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</si>
  <si>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</si>
  <si>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</si>
  <si>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</si>
  <si>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</si>
  <si>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</si>
  <si>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</si>
  <si>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</si>
  <si>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</si>
  <si>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</si>
  <si>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</si>
  <si>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</si>
  <si>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</si>
  <si>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</si>
  <si>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</si>
  <si>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</si>
  <si>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</si>
  <si>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</si>
  <si>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</si>
  <si>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</si>
  <si>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</si>
  <si>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</si>
  <si>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</si>
  <si>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</si>
  <si>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</si>
  <si>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</si>
  <si>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</si>
  <si>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</si>
  <si>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</si>
  <si>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</si>
  <si>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</si>
  <si>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</si>
  <si>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50000</t>
    </r>
  </si>
  <si>
    <t>ISONIAZID</t>
  </si>
  <si>
    <t>Resolution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</si>
  <si>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6000</t>
    </r>
  </si>
  <si>
    <t>The Resolution Between isoniazid and Pyrazinamide nlt 4.0</t>
  </si>
  <si>
    <t>NDQB201709212</t>
  </si>
  <si>
    <t xml:space="preserve">RIFAMPICIN 75 mg </t>
  </si>
  <si>
    <t>Each  dispersible tablet contains: Rifampicin BP 75 mg and Isoniazid BP 50 mg.</t>
  </si>
  <si>
    <t>R4-1</t>
  </si>
  <si>
    <t>, Isoniazid</t>
  </si>
  <si>
    <t>I8-4</t>
  </si>
  <si>
    <t>PYRAZINAMIDE</t>
  </si>
  <si>
    <t>Pyrazinamide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</si>
  <si>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10000</t>
    </r>
  </si>
  <si>
    <t>The Resolution Between isoniazid and Rifampicin NLT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</si>
</sst>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5" fillId="2" borderId="0"/>
    <xf numFmtId="0" fontId="25" fillId="2" borderId="0"/>
    <xf numFmtId="0" fontId="25" fillId="2" borderId="0"/>
    <xf numFmtId="0" fontId="26" fillId="2" borderId="0"/>
    <xf numFmtId="9" fontId="26" fillId="2" borderId="0" applyFont="0" applyFill="0" applyBorder="0" applyAlignment="0" applyProtection="0"/>
  </cellStyleXfs>
  <cellXfs count="56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7" xfId="2" applyFont="1" applyFill="1" applyBorder="1"/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26" xfId="2" applyNumberFormat="1" applyFont="1" applyFill="1" applyBorder="1" applyAlignment="1" applyProtection="1">
      <alignment horizontal="center"/>
      <protection locked="0"/>
    </xf>
    <xf numFmtId="0" fontId="7" fillId="8" borderId="58" xfId="2" applyFont="1" applyFill="1" applyBorder="1" applyAlignment="1">
      <alignment horizontal="center"/>
    </xf>
    <xf numFmtId="2" fontId="7" fillId="3" borderId="31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2" fontId="7" fillId="3" borderId="3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2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0" xfId="2" applyFont="1" applyFill="1" applyBorder="1"/>
    <xf numFmtId="0" fontId="2" fillId="2" borderId="58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2" fillId="2" borderId="59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6" fillId="2" borderId="6" xfId="2" applyFont="1" applyFill="1" applyBorder="1"/>
    <xf numFmtId="0" fontId="6" fillId="2" borderId="8" xfId="2" applyFont="1" applyFill="1" applyBorder="1"/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2" applyFont="1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165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74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0" fillId="2" borderId="0" xfId="3" applyNumberFormat="1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" fillId="9" borderId="57" xfId="2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2" borderId="0" xfId="4" applyFill="1"/>
    <xf numFmtId="10" fontId="0" fillId="2" borderId="0" xfId="5" applyNumberFormat="1" applyFont="1" applyFill="1"/>
    <xf numFmtId="0" fontId="2" fillId="2" borderId="60" xfId="2" applyFont="1" applyFill="1" applyBorder="1"/>
    <xf numFmtId="0" fontId="1" fillId="2" borderId="10" xfId="2" applyFont="1" applyFill="1" applyBorder="1" applyAlignment="1"/>
    <xf numFmtId="0" fontId="1" fillId="2" borderId="10" xfId="1" applyFont="1" applyFill="1" applyBorder="1" applyAlignment="1"/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F38" sqref="F3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9" t="s">
        <v>31</v>
      </c>
      <c r="B11" s="560"/>
      <c r="C11" s="560"/>
      <c r="D11" s="560"/>
      <c r="E11" s="560"/>
      <c r="F11" s="561"/>
      <c r="G11" s="41"/>
    </row>
    <row r="12" spans="1:7" ht="16.5" customHeight="1" x14ac:dyDescent="0.3">
      <c r="A12" s="558" t="s">
        <v>32</v>
      </c>
      <c r="B12" s="558"/>
      <c r="C12" s="558"/>
      <c r="D12" s="558"/>
      <c r="E12" s="558"/>
      <c r="F12" s="558"/>
      <c r="G12" s="40"/>
    </row>
    <row r="14" spans="1:7" ht="16.5" customHeight="1" x14ac:dyDescent="0.3">
      <c r="A14" s="563" t="s">
        <v>33</v>
      </c>
      <c r="B14" s="563"/>
      <c r="C14" s="10" t="s">
        <v>5</v>
      </c>
    </row>
    <row r="15" spans="1:7" ht="16.5" customHeight="1" x14ac:dyDescent="0.3">
      <c r="A15" s="563" t="s">
        <v>34</v>
      </c>
      <c r="B15" s="563"/>
      <c r="C15" s="10" t="s">
        <v>7</v>
      </c>
    </row>
    <row r="16" spans="1:7" ht="16.5" customHeight="1" x14ac:dyDescent="0.3">
      <c r="A16" s="563" t="s">
        <v>35</v>
      </c>
      <c r="B16" s="563"/>
      <c r="C16" s="10" t="s">
        <v>9</v>
      </c>
    </row>
    <row r="17" spans="1:5" ht="16.5" customHeight="1" x14ac:dyDescent="0.3">
      <c r="A17" s="563" t="s">
        <v>36</v>
      </c>
      <c r="B17" s="563"/>
      <c r="C17" s="10" t="s">
        <v>11</v>
      </c>
    </row>
    <row r="18" spans="1:5" ht="16.5" customHeight="1" x14ac:dyDescent="0.3">
      <c r="A18" s="563" t="s">
        <v>37</v>
      </c>
      <c r="B18" s="563"/>
      <c r="C18" s="47" t="s">
        <v>12</v>
      </c>
    </row>
    <row r="19" spans="1:5" ht="16.5" customHeight="1" x14ac:dyDescent="0.3">
      <c r="A19" s="563" t="s">
        <v>38</v>
      </c>
      <c r="B19" s="56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8" t="s">
        <v>1</v>
      </c>
      <c r="B21" s="558"/>
      <c r="C21" s="9" t="s">
        <v>39</v>
      </c>
      <c r="D21" s="16"/>
    </row>
    <row r="22" spans="1:5" ht="15.75" customHeight="1" x14ac:dyDescent="0.3">
      <c r="A22" s="562"/>
      <c r="B22" s="562"/>
      <c r="C22" s="7"/>
      <c r="D22" s="562"/>
      <c r="E22" s="56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479.72</v>
      </c>
      <c r="D24" s="37">
        <f t="shared" ref="D24:D43" si="0">(C24-$C$46)/$C$46</f>
        <v>-2.7741139517455742E-3</v>
      </c>
      <c r="E24" s="3"/>
    </row>
    <row r="25" spans="1:5" ht="15.75" customHeight="1" x14ac:dyDescent="0.3">
      <c r="C25" s="45">
        <v>480.74</v>
      </c>
      <c r="D25" s="38">
        <f t="shared" si="0"/>
        <v>-6.5377207779993647E-4</v>
      </c>
      <c r="E25" s="3"/>
    </row>
    <row r="26" spans="1:5" ht="15.75" customHeight="1" x14ac:dyDescent="0.3">
      <c r="C26" s="45">
        <v>481.6</v>
      </c>
      <c r="D26" s="38">
        <f t="shared" si="0"/>
        <v>1.1339671492523282E-3</v>
      </c>
      <c r="E26" s="3"/>
    </row>
    <row r="27" spans="1:5" ht="15.75" customHeight="1" x14ac:dyDescent="0.3">
      <c r="C27" s="45">
        <v>479.33</v>
      </c>
      <c r="D27" s="38">
        <f t="shared" si="0"/>
        <v>-3.5848329035484223E-3</v>
      </c>
      <c r="E27" s="3"/>
    </row>
    <row r="28" spans="1:5" ht="15.75" customHeight="1" x14ac:dyDescent="0.3">
      <c r="C28" s="45">
        <v>475.17</v>
      </c>
      <c r="D28" s="38">
        <f t="shared" si="0"/>
        <v>-1.2232501722777778E-2</v>
      </c>
      <c r="E28" s="3"/>
    </row>
    <row r="29" spans="1:5" ht="15.75" customHeight="1" x14ac:dyDescent="0.3">
      <c r="C29" s="45">
        <v>480.48</v>
      </c>
      <c r="D29" s="38">
        <f t="shared" si="0"/>
        <v>-1.1942513790017563E-3</v>
      </c>
      <c r="E29" s="3"/>
    </row>
    <row r="30" spans="1:5" ht="15.75" customHeight="1" x14ac:dyDescent="0.3">
      <c r="C30" s="45">
        <v>480.19</v>
      </c>
      <c r="D30" s="38">
        <f t="shared" si="0"/>
        <v>-1.7970936764961577E-3</v>
      </c>
      <c r="E30" s="3"/>
    </row>
    <row r="31" spans="1:5" ht="15.75" customHeight="1" x14ac:dyDescent="0.3">
      <c r="C31" s="45">
        <v>481.11</v>
      </c>
      <c r="D31" s="38">
        <f t="shared" si="0"/>
        <v>1.1537154314115136E-4</v>
      </c>
      <c r="E31" s="3"/>
    </row>
    <row r="32" spans="1:5" ht="15.75" customHeight="1" x14ac:dyDescent="0.3">
      <c r="C32" s="45">
        <v>485.25</v>
      </c>
      <c r="D32" s="38">
        <f t="shared" si="0"/>
        <v>8.7214650315088644E-3</v>
      </c>
      <c r="E32" s="3"/>
    </row>
    <row r="33" spans="1:7" ht="15.75" customHeight="1" x14ac:dyDescent="0.3">
      <c r="C33" s="45">
        <v>480.1</v>
      </c>
      <c r="D33" s="38">
        <f t="shared" si="0"/>
        <v>-1.9841826653736652E-3</v>
      </c>
      <c r="E33" s="3"/>
    </row>
    <row r="34" spans="1:7" ht="15.75" customHeight="1" x14ac:dyDescent="0.3">
      <c r="C34" s="45">
        <v>481.68</v>
      </c>
      <c r="D34" s="38">
        <f t="shared" si="0"/>
        <v>1.3002684726990147E-3</v>
      </c>
      <c r="E34" s="3"/>
    </row>
    <row r="35" spans="1:7" ht="15.75" customHeight="1" x14ac:dyDescent="0.3">
      <c r="C35" s="45">
        <v>483.41</v>
      </c>
      <c r="D35" s="38">
        <f t="shared" si="0"/>
        <v>4.896534592234365E-3</v>
      </c>
      <c r="E35" s="3"/>
    </row>
    <row r="36" spans="1:7" ht="15.75" customHeight="1" x14ac:dyDescent="0.3">
      <c r="C36" s="45">
        <v>482.41</v>
      </c>
      <c r="D36" s="38">
        <f t="shared" si="0"/>
        <v>2.8177680491503691E-3</v>
      </c>
      <c r="E36" s="3"/>
    </row>
    <row r="37" spans="1:7" ht="15.75" customHeight="1" x14ac:dyDescent="0.3">
      <c r="C37" s="45">
        <v>485.17</v>
      </c>
      <c r="D37" s="38">
        <f t="shared" si="0"/>
        <v>8.5551637080621776E-3</v>
      </c>
      <c r="E37" s="3"/>
    </row>
    <row r="38" spans="1:7" ht="15.75" customHeight="1" x14ac:dyDescent="0.3">
      <c r="C38" s="45">
        <v>480.48</v>
      </c>
      <c r="D38" s="38">
        <f t="shared" si="0"/>
        <v>-1.1942513790017563E-3</v>
      </c>
      <c r="E38" s="3"/>
    </row>
    <row r="39" spans="1:7" ht="15.75" customHeight="1" x14ac:dyDescent="0.3">
      <c r="C39" s="45">
        <v>482.09</v>
      </c>
      <c r="D39" s="38">
        <f t="shared" si="0"/>
        <v>2.1525627553633866E-3</v>
      </c>
      <c r="E39" s="3"/>
    </row>
    <row r="40" spans="1:7" ht="15.75" customHeight="1" x14ac:dyDescent="0.3">
      <c r="C40" s="45">
        <v>482.81</v>
      </c>
      <c r="D40" s="38">
        <f t="shared" si="0"/>
        <v>3.6492746663839204E-3</v>
      </c>
      <c r="E40" s="3"/>
    </row>
    <row r="41" spans="1:7" ht="15.75" customHeight="1" x14ac:dyDescent="0.3">
      <c r="C41" s="45">
        <v>482.84</v>
      </c>
      <c r="D41" s="38">
        <f t="shared" si="0"/>
        <v>3.7116376626763832E-3</v>
      </c>
      <c r="E41" s="3"/>
    </row>
    <row r="42" spans="1:7" ht="15.75" customHeight="1" x14ac:dyDescent="0.3">
      <c r="C42" s="45">
        <v>478.12</v>
      </c>
      <c r="D42" s="38">
        <f t="shared" si="0"/>
        <v>-6.1001404206800147E-3</v>
      </c>
      <c r="E42" s="3"/>
    </row>
    <row r="43" spans="1:7" ht="16.5" customHeight="1" x14ac:dyDescent="0.3">
      <c r="C43" s="46">
        <v>478.39</v>
      </c>
      <c r="D43" s="39">
        <f t="shared" si="0"/>
        <v>-5.5388734540473732E-3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9621.09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481.05450000000002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6">
        <f>C46</f>
        <v>481.05450000000002</v>
      </c>
      <c r="C49" s="43">
        <f>-IF(C46&lt;=80,10%,IF(C46&lt;250,7.5%,5%))</f>
        <v>-0.05</v>
      </c>
      <c r="D49" s="31">
        <f>IF(C46&lt;=80,C46*0.9,IF(C46&lt;250,C46*0.925,C46*0.95))</f>
        <v>457.00177500000001</v>
      </c>
    </row>
    <row r="50" spans="1:6" ht="17.25" customHeight="1" x14ac:dyDescent="0.3">
      <c r="B50" s="557"/>
      <c r="C50" s="44">
        <f>IF(C46&lt;=80, 10%, IF(C46&lt;250, 7.5%, 5%))</f>
        <v>0.05</v>
      </c>
      <c r="D50" s="31">
        <f>IF(C46&lt;=80, C46*1.1, IF(C46&lt;250, C46*1.075, C46*1.05))</f>
        <v>505.10722500000003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3" zoomScale="60" zoomScaleNormal="70" workbookViewId="0">
      <selection activeCell="F58" sqref="F58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1" t="s">
        <v>1</v>
      </c>
      <c r="B16" s="52" t="s">
        <v>2</v>
      </c>
    </row>
    <row r="17" spans="1:6" ht="16.5" customHeight="1" x14ac:dyDescent="0.3">
      <c r="A17" s="53" t="s">
        <v>3</v>
      </c>
      <c r="B17" s="53" t="s">
        <v>131</v>
      </c>
      <c r="D17" s="54"/>
      <c r="E17" s="55"/>
    </row>
    <row r="18" spans="1:6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6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6" ht="16.5" customHeight="1" x14ac:dyDescent="0.3">
      <c r="A20" s="53" t="s">
        <v>8</v>
      </c>
      <c r="B20" s="57">
        <v>21.29</v>
      </c>
      <c r="C20" s="55"/>
      <c r="D20" s="55"/>
      <c r="E20" s="55"/>
    </row>
    <row r="21" spans="1:6" ht="16.5" customHeight="1" x14ac:dyDescent="0.3">
      <c r="A21" s="53" t="s">
        <v>10</v>
      </c>
      <c r="B21" s="58">
        <f>21.29/25*10/50</f>
        <v>0.17031999999999997</v>
      </c>
      <c r="C21" s="55"/>
      <c r="D21" s="55"/>
      <c r="E21" s="55"/>
    </row>
    <row r="22" spans="1:6" ht="15.75" customHeight="1" x14ac:dyDescent="0.25">
      <c r="A22" s="55"/>
      <c r="B22" s="55" t="s">
        <v>133</v>
      </c>
      <c r="C22" s="55"/>
      <c r="D22" s="55"/>
      <c r="E22" s="55"/>
    </row>
    <row r="23" spans="1:6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  <c r="F23" s="105" t="s">
        <v>136</v>
      </c>
    </row>
    <row r="24" spans="1:6" ht="16.5" customHeight="1" x14ac:dyDescent="0.3">
      <c r="A24" s="61">
        <v>1</v>
      </c>
      <c r="B24" s="62">
        <v>57649792</v>
      </c>
      <c r="C24" s="62">
        <v>44464.2</v>
      </c>
      <c r="D24" s="63">
        <v>0.8</v>
      </c>
      <c r="E24" s="64">
        <v>14.5</v>
      </c>
      <c r="F24" s="110">
        <v>34.6</v>
      </c>
    </row>
    <row r="25" spans="1:6" ht="16.5" customHeight="1" x14ac:dyDescent="0.3">
      <c r="A25" s="61">
        <v>2</v>
      </c>
      <c r="B25" s="62">
        <v>57933413</v>
      </c>
      <c r="C25" s="62">
        <v>44071.5</v>
      </c>
      <c r="D25" s="63">
        <v>0.8</v>
      </c>
      <c r="E25" s="63">
        <v>14.4</v>
      </c>
      <c r="F25" s="110">
        <v>34.6</v>
      </c>
    </row>
    <row r="26" spans="1:6" ht="16.5" customHeight="1" x14ac:dyDescent="0.3">
      <c r="A26" s="61">
        <v>3</v>
      </c>
      <c r="B26" s="62">
        <v>62949613</v>
      </c>
      <c r="C26" s="62">
        <v>41371.9</v>
      </c>
      <c r="D26" s="63">
        <v>0.7</v>
      </c>
      <c r="E26" s="63">
        <v>14.4</v>
      </c>
      <c r="F26" s="110">
        <v>33.9</v>
      </c>
    </row>
    <row r="27" spans="1:6" ht="16.5" customHeight="1" x14ac:dyDescent="0.3">
      <c r="A27" s="61">
        <v>4</v>
      </c>
      <c r="B27" s="62">
        <v>57533464</v>
      </c>
      <c r="C27" s="62">
        <v>44573.599999999999</v>
      </c>
      <c r="D27" s="63">
        <v>0.8</v>
      </c>
      <c r="E27" s="63">
        <v>14.5</v>
      </c>
      <c r="F27" s="110">
        <v>34.6</v>
      </c>
    </row>
    <row r="28" spans="1:6" ht="16.5" customHeight="1" x14ac:dyDescent="0.3">
      <c r="A28" s="61">
        <v>5</v>
      </c>
      <c r="B28" s="62">
        <v>57832046</v>
      </c>
      <c r="C28" s="62">
        <v>44919.5</v>
      </c>
      <c r="D28" s="63">
        <v>0.8</v>
      </c>
      <c r="E28" s="63">
        <v>14.5</v>
      </c>
      <c r="F28" s="110">
        <v>34.799999999999997</v>
      </c>
    </row>
    <row r="29" spans="1:6" ht="16.5" customHeight="1" x14ac:dyDescent="0.3">
      <c r="A29" s="61">
        <v>6</v>
      </c>
      <c r="B29" s="65">
        <v>57870460</v>
      </c>
      <c r="C29" s="65">
        <v>43925.3</v>
      </c>
      <c r="D29" s="66">
        <v>0.8</v>
      </c>
      <c r="E29" s="66">
        <v>14.4</v>
      </c>
      <c r="F29" s="110">
        <v>34.4</v>
      </c>
    </row>
    <row r="30" spans="1:6" ht="16.5" customHeight="1" x14ac:dyDescent="0.3">
      <c r="A30" s="67" t="s">
        <v>18</v>
      </c>
      <c r="B30" s="68">
        <f>AVERAGE(B24:B29)</f>
        <v>58628131.333333336</v>
      </c>
      <c r="C30" s="69">
        <f>AVERAGE(C24:C29)</f>
        <v>43887.666666666664</v>
      </c>
      <c r="D30" s="70">
        <f>AVERAGE(D24:D29)</f>
        <v>0.78333333333333321</v>
      </c>
      <c r="E30" s="70">
        <f>AVERAGE(E24:E29)</f>
        <v>14.450000000000001</v>
      </c>
      <c r="F30" s="70">
        <f>AVERAGE(F24:F29)</f>
        <v>34.483333333333334</v>
      </c>
    </row>
    <row r="31" spans="1:6" ht="16.5" customHeight="1" x14ac:dyDescent="0.3">
      <c r="A31" s="71" t="s">
        <v>19</v>
      </c>
      <c r="B31" s="72">
        <f>(STDEV(B24:B29)/B30)</f>
        <v>3.6199597387506798E-2</v>
      </c>
      <c r="C31" s="73"/>
      <c r="D31" s="73"/>
      <c r="E31" s="74"/>
      <c r="F31" s="124"/>
    </row>
    <row r="32" spans="1:6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  <c r="F32" s="12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134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99" t="s">
        <v>148</v>
      </c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568" t="s">
        <v>26</v>
      </c>
      <c r="C59" s="86" t="s">
        <v>27</v>
      </c>
      <c r="D59" s="87"/>
      <c r="E59" s="86" t="s">
        <v>28</v>
      </c>
    </row>
    <row r="60" spans="1:7" ht="15" customHeight="1" x14ac:dyDescent="0.3">
      <c r="A60" s="88" t="s">
        <v>29</v>
      </c>
      <c r="B60" s="89"/>
      <c r="C60" s="89"/>
      <c r="E60" s="89"/>
    </row>
    <row r="61" spans="1:7" ht="15" customHeight="1" x14ac:dyDescent="0.3">
      <c r="A61" s="88" t="s">
        <v>30</v>
      </c>
      <c r="B61" s="90"/>
      <c r="C61" s="90"/>
      <c r="E61" s="91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5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3" zoomScale="55" zoomScaleNormal="40" zoomScaleSheetLayoutView="55" zoomScalePageLayoutView="41" workbookViewId="0">
      <selection activeCell="F71" sqref="F71"/>
    </sheetView>
  </sheetViews>
  <sheetFormatPr defaultColWidth="9.140625" defaultRowHeight="13.5" x14ac:dyDescent="0.25"/>
  <cols>
    <col min="1" max="1" width="55.42578125" style="93" customWidth="1"/>
    <col min="2" max="2" width="33.7109375" style="93" customWidth="1"/>
    <col min="3" max="3" width="42.28515625" style="93" customWidth="1"/>
    <col min="4" max="4" width="30.5703125" style="93" customWidth="1"/>
    <col min="5" max="5" width="39.85546875" style="93" customWidth="1"/>
    <col min="6" max="6" width="30.7109375" style="93" customWidth="1"/>
    <col min="7" max="7" width="39.85546875" style="93" customWidth="1"/>
    <col min="8" max="8" width="30" style="93" customWidth="1"/>
    <col min="9" max="9" width="30.28515625" style="93" hidden="1" customWidth="1"/>
    <col min="10" max="10" width="30.42578125" style="93" customWidth="1"/>
    <col min="11" max="11" width="21.28515625" style="93" customWidth="1"/>
    <col min="12" max="12" width="9.140625" style="93"/>
    <col min="13" max="16384" width="9.140625" style="138"/>
  </cols>
  <sheetData>
    <row r="1" spans="1:9" ht="18.75" customHeight="1" x14ac:dyDescent="0.25">
      <c r="A1" s="480" t="s">
        <v>45</v>
      </c>
      <c r="B1" s="480"/>
      <c r="C1" s="480"/>
      <c r="D1" s="480"/>
      <c r="E1" s="480"/>
      <c r="F1" s="480"/>
      <c r="G1" s="480"/>
      <c r="H1" s="480"/>
      <c r="I1" s="480"/>
    </row>
    <row r="2" spans="1:9" ht="18.75" customHeight="1" x14ac:dyDescent="0.25">
      <c r="A2" s="480"/>
      <c r="B2" s="480"/>
      <c r="C2" s="480"/>
      <c r="D2" s="480"/>
      <c r="E2" s="480"/>
      <c r="F2" s="480"/>
      <c r="G2" s="480"/>
      <c r="H2" s="480"/>
      <c r="I2" s="480"/>
    </row>
    <row r="3" spans="1:9" ht="18.75" customHeight="1" x14ac:dyDescent="0.25">
      <c r="A3" s="480"/>
      <c r="B3" s="480"/>
      <c r="C3" s="480"/>
      <c r="D3" s="480"/>
      <c r="E3" s="480"/>
      <c r="F3" s="480"/>
      <c r="G3" s="480"/>
      <c r="H3" s="480"/>
      <c r="I3" s="480"/>
    </row>
    <row r="4" spans="1:9" ht="18.75" customHeight="1" x14ac:dyDescent="0.25">
      <c r="A4" s="480"/>
      <c r="B4" s="480"/>
      <c r="C4" s="480"/>
      <c r="D4" s="480"/>
      <c r="E4" s="480"/>
      <c r="F4" s="480"/>
      <c r="G4" s="480"/>
      <c r="H4" s="480"/>
      <c r="I4" s="480"/>
    </row>
    <row r="5" spans="1:9" ht="18.75" customHeight="1" x14ac:dyDescent="0.25">
      <c r="A5" s="480"/>
      <c r="B5" s="480"/>
      <c r="C5" s="480"/>
      <c r="D5" s="480"/>
      <c r="E5" s="480"/>
      <c r="F5" s="480"/>
      <c r="G5" s="480"/>
      <c r="H5" s="480"/>
      <c r="I5" s="480"/>
    </row>
    <row r="6" spans="1:9" ht="18.75" customHeight="1" x14ac:dyDescent="0.25">
      <c r="A6" s="480"/>
      <c r="B6" s="480"/>
      <c r="C6" s="480"/>
      <c r="D6" s="480"/>
      <c r="E6" s="480"/>
      <c r="F6" s="480"/>
      <c r="G6" s="480"/>
      <c r="H6" s="480"/>
      <c r="I6" s="480"/>
    </row>
    <row r="7" spans="1:9" ht="18.75" customHeight="1" x14ac:dyDescent="0.25">
      <c r="A7" s="480"/>
      <c r="B7" s="480"/>
      <c r="C7" s="480"/>
      <c r="D7" s="480"/>
      <c r="E7" s="480"/>
      <c r="F7" s="480"/>
      <c r="G7" s="480"/>
      <c r="H7" s="480"/>
      <c r="I7" s="480"/>
    </row>
    <row r="8" spans="1:9" x14ac:dyDescent="0.25">
      <c r="A8" s="481" t="s">
        <v>46</v>
      </c>
      <c r="B8" s="481"/>
      <c r="C8" s="481"/>
      <c r="D8" s="481"/>
      <c r="E8" s="481"/>
      <c r="F8" s="481"/>
      <c r="G8" s="481"/>
      <c r="H8" s="481"/>
      <c r="I8" s="481"/>
    </row>
    <row r="9" spans="1:9" x14ac:dyDescent="0.25">
      <c r="A9" s="481"/>
      <c r="B9" s="481"/>
      <c r="C9" s="481"/>
      <c r="D9" s="481"/>
      <c r="E9" s="481"/>
      <c r="F9" s="481"/>
      <c r="G9" s="481"/>
      <c r="H9" s="481"/>
      <c r="I9" s="481"/>
    </row>
    <row r="10" spans="1:9" x14ac:dyDescent="0.25">
      <c r="A10" s="481"/>
      <c r="B10" s="481"/>
      <c r="C10" s="481"/>
      <c r="D10" s="481"/>
      <c r="E10" s="481"/>
      <c r="F10" s="481"/>
      <c r="G10" s="481"/>
      <c r="H10" s="481"/>
      <c r="I10" s="481"/>
    </row>
    <row r="11" spans="1:9" x14ac:dyDescent="0.25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9" x14ac:dyDescent="0.25">
      <c r="A12" s="481"/>
      <c r="B12" s="481"/>
      <c r="C12" s="481"/>
      <c r="D12" s="481"/>
      <c r="E12" s="481"/>
      <c r="F12" s="481"/>
      <c r="G12" s="481"/>
      <c r="H12" s="481"/>
      <c r="I12" s="481"/>
    </row>
    <row r="13" spans="1:9" x14ac:dyDescent="0.25">
      <c r="A13" s="481"/>
      <c r="B13" s="481"/>
      <c r="C13" s="481"/>
      <c r="D13" s="481"/>
      <c r="E13" s="481"/>
      <c r="F13" s="481"/>
      <c r="G13" s="481"/>
      <c r="H13" s="481"/>
      <c r="I13" s="481"/>
    </row>
    <row r="14" spans="1:9" x14ac:dyDescent="0.25">
      <c r="A14" s="481"/>
      <c r="B14" s="481"/>
      <c r="C14" s="481"/>
      <c r="D14" s="481"/>
      <c r="E14" s="481"/>
      <c r="F14" s="481"/>
      <c r="G14" s="481"/>
      <c r="H14" s="481"/>
      <c r="I14" s="481"/>
    </row>
    <row r="15" spans="1:9" ht="19.5" customHeight="1" thickBot="1" x14ac:dyDescent="0.35">
      <c r="A15" s="145"/>
    </row>
    <row r="16" spans="1:9" ht="19.5" customHeight="1" thickBot="1" x14ac:dyDescent="0.35">
      <c r="A16" s="482" t="s">
        <v>31</v>
      </c>
      <c r="B16" s="483"/>
      <c r="C16" s="483"/>
      <c r="D16" s="483"/>
      <c r="E16" s="483"/>
      <c r="F16" s="483"/>
      <c r="G16" s="483"/>
      <c r="H16" s="484"/>
    </row>
    <row r="17" spans="1:14" ht="20.25" customHeight="1" x14ac:dyDescent="0.25">
      <c r="A17" s="485" t="s">
        <v>47</v>
      </c>
      <c r="B17" s="485"/>
      <c r="C17" s="485"/>
      <c r="D17" s="485"/>
      <c r="E17" s="485"/>
      <c r="F17" s="485"/>
      <c r="G17" s="485"/>
      <c r="H17" s="485"/>
    </row>
    <row r="18" spans="1:14" ht="26.25" customHeight="1" x14ac:dyDescent="0.4">
      <c r="A18" s="146" t="s">
        <v>33</v>
      </c>
      <c r="B18" s="486" t="s">
        <v>131</v>
      </c>
      <c r="C18" s="486"/>
      <c r="D18" s="147"/>
      <c r="E18" s="148"/>
      <c r="F18" s="149"/>
      <c r="G18" s="149"/>
      <c r="H18" s="149"/>
    </row>
    <row r="19" spans="1:14" ht="26.25" customHeight="1" x14ac:dyDescent="0.4">
      <c r="A19" s="146" t="s">
        <v>34</v>
      </c>
      <c r="B19" s="150" t="s">
        <v>7</v>
      </c>
      <c r="C19" s="149">
        <v>1</v>
      </c>
      <c r="D19" s="149"/>
      <c r="E19" s="149"/>
      <c r="F19" s="149"/>
      <c r="G19" s="149"/>
      <c r="H19" s="149"/>
    </row>
    <row r="20" spans="1:14" ht="26.25" customHeight="1" x14ac:dyDescent="0.4">
      <c r="A20" s="146" t="s">
        <v>35</v>
      </c>
      <c r="B20" s="487" t="s">
        <v>140</v>
      </c>
      <c r="C20" s="487"/>
      <c r="D20" s="149"/>
      <c r="E20" s="149"/>
      <c r="F20" s="149"/>
      <c r="G20" s="149"/>
      <c r="H20" s="149"/>
    </row>
    <row r="21" spans="1:14" ht="26.25" customHeight="1" x14ac:dyDescent="0.4">
      <c r="A21" s="146" t="s">
        <v>36</v>
      </c>
      <c r="B21" s="487" t="s">
        <v>141</v>
      </c>
      <c r="C21" s="487"/>
      <c r="D21" s="487"/>
      <c r="E21" s="487"/>
      <c r="F21" s="487"/>
      <c r="G21" s="487"/>
      <c r="H21" s="487"/>
      <c r="I21" s="151"/>
    </row>
    <row r="22" spans="1:14" ht="26.25" customHeight="1" x14ac:dyDescent="0.4">
      <c r="A22" s="146" t="s">
        <v>37</v>
      </c>
      <c r="B22" s="152" t="s">
        <v>133</v>
      </c>
      <c r="C22" s="149"/>
      <c r="D22" s="149"/>
      <c r="E22" s="149"/>
      <c r="F22" s="149"/>
      <c r="G22" s="149"/>
      <c r="H22" s="149"/>
    </row>
    <row r="23" spans="1:14" ht="26.25" customHeight="1" x14ac:dyDescent="0.4">
      <c r="A23" s="146" t="s">
        <v>38</v>
      </c>
      <c r="B23" s="152"/>
      <c r="C23" s="149"/>
      <c r="D23" s="149"/>
      <c r="E23" s="149"/>
      <c r="F23" s="149"/>
      <c r="G23" s="149"/>
      <c r="H23" s="149"/>
    </row>
    <row r="24" spans="1:14" ht="18.75" x14ac:dyDescent="0.3">
      <c r="A24" s="146"/>
      <c r="B24" s="153"/>
    </row>
    <row r="25" spans="1:14" ht="18.75" x14ac:dyDescent="0.3">
      <c r="A25" s="154" t="s">
        <v>1</v>
      </c>
      <c r="B25" s="153"/>
    </row>
    <row r="26" spans="1:14" ht="26.25" customHeight="1" x14ac:dyDescent="0.4">
      <c r="A26" s="155" t="s">
        <v>4</v>
      </c>
      <c r="B26" s="486" t="s">
        <v>132</v>
      </c>
      <c r="C26" s="486"/>
    </row>
    <row r="27" spans="1:14" ht="26.25" customHeight="1" x14ac:dyDescent="0.4">
      <c r="A27" s="156" t="s">
        <v>48</v>
      </c>
      <c r="B27" s="488" t="s">
        <v>142</v>
      </c>
      <c r="C27" s="488"/>
    </row>
    <row r="28" spans="1:14" ht="27" customHeight="1" thickBot="1" x14ac:dyDescent="0.45">
      <c r="A28" s="156" t="s">
        <v>6</v>
      </c>
      <c r="B28" s="157">
        <v>98.5</v>
      </c>
    </row>
    <row r="29" spans="1:14" s="103" customFormat="1" ht="27" customHeight="1" thickBot="1" x14ac:dyDescent="0.45">
      <c r="A29" s="156" t="s">
        <v>49</v>
      </c>
      <c r="B29" s="158">
        <v>0</v>
      </c>
      <c r="C29" s="489" t="s">
        <v>50</v>
      </c>
      <c r="D29" s="490"/>
      <c r="E29" s="490"/>
      <c r="F29" s="490"/>
      <c r="G29" s="491"/>
      <c r="I29" s="159"/>
      <c r="J29" s="159"/>
      <c r="K29" s="159"/>
      <c r="L29" s="159"/>
    </row>
    <row r="30" spans="1:14" s="103" customFormat="1" ht="19.5" customHeight="1" thickBot="1" x14ac:dyDescent="0.35">
      <c r="A30" s="156" t="s">
        <v>51</v>
      </c>
      <c r="B30" s="160">
        <f>B28-B29</f>
        <v>98.5</v>
      </c>
      <c r="C30" s="161"/>
      <c r="D30" s="161"/>
      <c r="E30" s="161"/>
      <c r="F30" s="161"/>
      <c r="G30" s="162"/>
      <c r="I30" s="159"/>
      <c r="J30" s="159"/>
      <c r="K30" s="159"/>
      <c r="L30" s="159"/>
    </row>
    <row r="31" spans="1:14" s="103" customFormat="1" ht="27" customHeight="1" thickBot="1" x14ac:dyDescent="0.45">
      <c r="A31" s="156" t="s">
        <v>52</v>
      </c>
      <c r="B31" s="163">
        <v>1</v>
      </c>
      <c r="C31" s="477" t="s">
        <v>53</v>
      </c>
      <c r="D31" s="478"/>
      <c r="E31" s="478"/>
      <c r="F31" s="478"/>
      <c r="G31" s="478"/>
      <c r="H31" s="479"/>
      <c r="I31" s="159"/>
      <c r="J31" s="159"/>
      <c r="K31" s="159"/>
      <c r="L31" s="159"/>
    </row>
    <row r="32" spans="1:14" s="103" customFormat="1" ht="27" customHeight="1" thickBot="1" x14ac:dyDescent="0.45">
      <c r="A32" s="156" t="s">
        <v>54</v>
      </c>
      <c r="B32" s="163">
        <v>1</v>
      </c>
      <c r="C32" s="477" t="s">
        <v>55</v>
      </c>
      <c r="D32" s="478"/>
      <c r="E32" s="478"/>
      <c r="F32" s="478"/>
      <c r="G32" s="478"/>
      <c r="H32" s="479"/>
      <c r="I32" s="159"/>
      <c r="J32" s="159"/>
      <c r="K32" s="159"/>
      <c r="L32" s="164"/>
      <c r="M32" s="164"/>
      <c r="N32" s="165"/>
    </row>
    <row r="33" spans="1:14" s="103" customFormat="1" ht="17.25" customHeight="1" x14ac:dyDescent="0.3">
      <c r="A33" s="156"/>
      <c r="B33" s="166"/>
      <c r="C33" s="167"/>
      <c r="D33" s="167"/>
      <c r="E33" s="167"/>
      <c r="F33" s="167"/>
      <c r="G33" s="167"/>
      <c r="H33" s="167"/>
      <c r="I33" s="159"/>
      <c r="J33" s="159"/>
      <c r="K33" s="159"/>
      <c r="L33" s="164"/>
      <c r="M33" s="164"/>
      <c r="N33" s="165"/>
    </row>
    <row r="34" spans="1:14" s="103" customFormat="1" ht="18.75" x14ac:dyDescent="0.3">
      <c r="A34" s="156" t="s">
        <v>56</v>
      </c>
      <c r="B34" s="168">
        <f>B31/B32</f>
        <v>1</v>
      </c>
      <c r="C34" s="145" t="s">
        <v>57</v>
      </c>
      <c r="D34" s="145"/>
      <c r="E34" s="145"/>
      <c r="F34" s="145"/>
      <c r="G34" s="145"/>
      <c r="I34" s="159"/>
      <c r="J34" s="159"/>
      <c r="K34" s="159"/>
      <c r="L34" s="164"/>
      <c r="M34" s="164"/>
      <c r="N34" s="165"/>
    </row>
    <row r="35" spans="1:14" s="103" customFormat="1" ht="19.5" customHeight="1" thickBot="1" x14ac:dyDescent="0.35">
      <c r="A35" s="156"/>
      <c r="B35" s="160"/>
      <c r="G35" s="145"/>
      <c r="I35" s="159"/>
      <c r="J35" s="159"/>
      <c r="K35" s="159"/>
      <c r="L35" s="164"/>
      <c r="M35" s="164"/>
      <c r="N35" s="165"/>
    </row>
    <row r="36" spans="1:14" s="103" customFormat="1" ht="27" customHeight="1" thickBot="1" x14ac:dyDescent="0.45">
      <c r="A36" s="169" t="s">
        <v>58</v>
      </c>
      <c r="B36" s="170">
        <v>25</v>
      </c>
      <c r="C36" s="145"/>
      <c r="D36" s="493" t="s">
        <v>59</v>
      </c>
      <c r="E36" s="494"/>
      <c r="F36" s="493" t="s">
        <v>60</v>
      </c>
      <c r="G36" s="495"/>
      <c r="J36" s="159"/>
      <c r="K36" s="159"/>
      <c r="L36" s="164"/>
      <c r="M36" s="164"/>
      <c r="N36" s="165"/>
    </row>
    <row r="37" spans="1:14" s="103" customFormat="1" ht="27" customHeight="1" thickBot="1" x14ac:dyDescent="0.45">
      <c r="A37" s="171" t="s">
        <v>61</v>
      </c>
      <c r="B37" s="172">
        <v>10</v>
      </c>
      <c r="C37" s="173" t="s">
        <v>62</v>
      </c>
      <c r="D37" s="174" t="s">
        <v>63</v>
      </c>
      <c r="E37" s="175" t="s">
        <v>64</v>
      </c>
      <c r="F37" s="174" t="s">
        <v>63</v>
      </c>
      <c r="G37" s="176" t="s">
        <v>64</v>
      </c>
      <c r="I37" s="177" t="s">
        <v>65</v>
      </c>
      <c r="J37" s="159"/>
      <c r="K37" s="159"/>
      <c r="L37" s="164"/>
      <c r="M37" s="164"/>
      <c r="N37" s="165"/>
    </row>
    <row r="38" spans="1:14" s="103" customFormat="1" ht="26.25" customHeight="1" x14ac:dyDescent="0.4">
      <c r="A38" s="171" t="s">
        <v>66</v>
      </c>
      <c r="B38" s="172">
        <v>50</v>
      </c>
      <c r="C38" s="178">
        <v>1</v>
      </c>
      <c r="D38" s="179">
        <v>57872129</v>
      </c>
      <c r="E38" s="180">
        <f>IF(ISBLANK(D38),"-",$D$48/$D$45*D38)</f>
        <v>55193452.754206479</v>
      </c>
      <c r="F38" s="179">
        <v>55332190</v>
      </c>
      <c r="G38" s="181">
        <f>IF(ISBLANK(F38),"-",$D$48/$F$45*F38)</f>
        <v>55839773.541492164</v>
      </c>
      <c r="I38" s="182"/>
      <c r="J38" s="159"/>
      <c r="K38" s="159"/>
      <c r="L38" s="164"/>
      <c r="M38" s="164"/>
      <c r="N38" s="165"/>
    </row>
    <row r="39" spans="1:14" s="103" customFormat="1" ht="26.25" customHeight="1" x14ac:dyDescent="0.4">
      <c r="A39" s="171" t="s">
        <v>67</v>
      </c>
      <c r="B39" s="172">
        <v>1</v>
      </c>
      <c r="C39" s="183">
        <v>2</v>
      </c>
      <c r="D39" s="184">
        <v>57286188</v>
      </c>
      <c r="E39" s="185">
        <f>IF(ISBLANK(D39),"-",$D$48/$D$45*D39)</f>
        <v>54634632.689020135</v>
      </c>
      <c r="F39" s="184">
        <v>54322382</v>
      </c>
      <c r="G39" s="186">
        <f>IF(ISBLANK(F39),"-",$D$48/$F$45*F39)</f>
        <v>54820702.182842031</v>
      </c>
      <c r="I39" s="496">
        <f>ABS((F43/D43*D42)-F42)/D42</f>
        <v>5.6883939221500906E-3</v>
      </c>
      <c r="J39" s="159"/>
      <c r="K39" s="159"/>
      <c r="L39" s="164"/>
      <c r="M39" s="164"/>
      <c r="N39" s="165"/>
    </row>
    <row r="40" spans="1:14" ht="26.25" customHeight="1" x14ac:dyDescent="0.4">
      <c r="A40" s="171" t="s">
        <v>68</v>
      </c>
      <c r="B40" s="172">
        <v>1</v>
      </c>
      <c r="C40" s="183">
        <v>3</v>
      </c>
      <c r="D40" s="184">
        <v>57421112</v>
      </c>
      <c r="E40" s="185">
        <f>IF(ISBLANK(D40),"-",$D$48/$D$45*D40)</f>
        <v>54763311.580709234</v>
      </c>
      <c r="F40" s="184">
        <v>54422389</v>
      </c>
      <c r="G40" s="186">
        <f>IF(ISBLANK(F40),"-",$D$48/$F$45*F40)</f>
        <v>54921626.585663684</v>
      </c>
      <c r="I40" s="496"/>
      <c r="L40" s="164"/>
      <c r="M40" s="164"/>
      <c r="N40" s="145"/>
    </row>
    <row r="41" spans="1:14" ht="27" customHeight="1" thickBot="1" x14ac:dyDescent="0.45">
      <c r="A41" s="171" t="s">
        <v>69</v>
      </c>
      <c r="B41" s="172">
        <v>1</v>
      </c>
      <c r="C41" s="187">
        <v>4</v>
      </c>
      <c r="D41" s="188"/>
      <c r="E41" s="189" t="str">
        <f>IF(ISBLANK(D41),"-",$D$48/$D$45*D41)</f>
        <v>-</v>
      </c>
      <c r="F41" s="188"/>
      <c r="G41" s="190" t="str">
        <f>IF(ISBLANK(F41),"-",$D$48/$F$45*F41)</f>
        <v>-</v>
      </c>
      <c r="I41" s="191"/>
      <c r="L41" s="164"/>
      <c r="M41" s="164"/>
      <c r="N41" s="145"/>
    </row>
    <row r="42" spans="1:14" ht="27" customHeight="1" thickBot="1" x14ac:dyDescent="0.45">
      <c r="A42" s="171" t="s">
        <v>70</v>
      </c>
      <c r="B42" s="172">
        <v>1</v>
      </c>
      <c r="C42" s="192" t="s">
        <v>71</v>
      </c>
      <c r="D42" s="193">
        <f>AVERAGE(D38:D41)</f>
        <v>57526476.333333336</v>
      </c>
      <c r="E42" s="194">
        <f>AVERAGE(E38:E41)</f>
        <v>54863799.007978618</v>
      </c>
      <c r="F42" s="193">
        <f>AVERAGE(F38:F41)</f>
        <v>54692320.333333336</v>
      </c>
      <c r="G42" s="195">
        <f>AVERAGE(G38:G41)</f>
        <v>55194034.103332631</v>
      </c>
      <c r="H42" s="136"/>
    </row>
    <row r="43" spans="1:14" ht="26.25" customHeight="1" x14ac:dyDescent="0.4">
      <c r="A43" s="171" t="s">
        <v>72</v>
      </c>
      <c r="B43" s="172">
        <v>1</v>
      </c>
      <c r="C43" s="196" t="s">
        <v>73</v>
      </c>
      <c r="D43" s="197">
        <v>21.29</v>
      </c>
      <c r="E43" s="145"/>
      <c r="F43" s="197">
        <v>20.12</v>
      </c>
      <c r="H43" s="136"/>
    </row>
    <row r="44" spans="1:14" ht="26.25" customHeight="1" x14ac:dyDescent="0.4">
      <c r="A44" s="171" t="s">
        <v>74</v>
      </c>
      <c r="B44" s="172">
        <v>1</v>
      </c>
      <c r="C44" s="198" t="s">
        <v>75</v>
      </c>
      <c r="D44" s="199">
        <f>D43*$B$34</f>
        <v>21.29</v>
      </c>
      <c r="E44" s="200"/>
      <c r="F44" s="199">
        <f>F43*$B$34</f>
        <v>20.12</v>
      </c>
      <c r="H44" s="136"/>
    </row>
    <row r="45" spans="1:14" ht="19.5" customHeight="1" thickBot="1" x14ac:dyDescent="0.35">
      <c r="A45" s="171" t="s">
        <v>76</v>
      </c>
      <c r="B45" s="183">
        <f>(B44/B43)*(B42/B41)*(B40/B39)*(B38/B37)*B36</f>
        <v>125</v>
      </c>
      <c r="C45" s="198" t="s">
        <v>77</v>
      </c>
      <c r="D45" s="201">
        <f>D44*$B$30/100</f>
        <v>20.970649999999999</v>
      </c>
      <c r="E45" s="202"/>
      <c r="F45" s="201">
        <f>F44*$B$30/100</f>
        <v>19.818200000000001</v>
      </c>
      <c r="H45" s="136"/>
    </row>
    <row r="46" spans="1:14" ht="19.5" customHeight="1" thickBot="1" x14ac:dyDescent="0.35">
      <c r="A46" s="497" t="s">
        <v>78</v>
      </c>
      <c r="B46" s="498"/>
      <c r="C46" s="198" t="s">
        <v>79</v>
      </c>
      <c r="D46" s="203">
        <f>D45/$B$45</f>
        <v>0.1677652</v>
      </c>
      <c r="E46" s="204"/>
      <c r="F46" s="205">
        <f>F45/$B$45</f>
        <v>0.15854560000000001</v>
      </c>
      <c r="H46" s="136"/>
    </row>
    <row r="47" spans="1:14" ht="27" customHeight="1" thickBot="1" x14ac:dyDescent="0.45">
      <c r="A47" s="499"/>
      <c r="B47" s="500"/>
      <c r="C47" s="206" t="s">
        <v>80</v>
      </c>
      <c r="D47" s="207">
        <v>0.16</v>
      </c>
      <c r="E47" s="208"/>
      <c r="F47" s="204"/>
      <c r="H47" s="136"/>
    </row>
    <row r="48" spans="1:14" ht="18.75" x14ac:dyDescent="0.3">
      <c r="C48" s="209" t="s">
        <v>81</v>
      </c>
      <c r="D48" s="201">
        <f>D47*$B$45</f>
        <v>20</v>
      </c>
      <c r="F48" s="210"/>
      <c r="H48" s="136"/>
    </row>
    <row r="49" spans="1:12" ht="19.5" customHeight="1" thickBot="1" x14ac:dyDescent="0.35">
      <c r="C49" s="211" t="s">
        <v>82</v>
      </c>
      <c r="D49" s="212">
        <f>D48/B34</f>
        <v>20</v>
      </c>
      <c r="F49" s="210"/>
      <c r="H49" s="136"/>
    </row>
    <row r="50" spans="1:12" ht="18.75" x14ac:dyDescent="0.3">
      <c r="C50" s="169" t="s">
        <v>83</v>
      </c>
      <c r="D50" s="213">
        <f>AVERAGE(E38:E41,G38:G41)</f>
        <v>55028916.555655621</v>
      </c>
      <c r="F50" s="214"/>
      <c r="H50" s="136"/>
    </row>
    <row r="51" spans="1:12" ht="18.75" x14ac:dyDescent="0.3">
      <c r="C51" s="171" t="s">
        <v>84</v>
      </c>
      <c r="D51" s="215">
        <f>STDEV(E38:E41,G38:G41)/D50</f>
        <v>7.9851804194775878E-3</v>
      </c>
      <c r="F51" s="214"/>
      <c r="H51" s="136"/>
    </row>
    <row r="52" spans="1:12" ht="19.5" customHeight="1" thickBot="1" x14ac:dyDescent="0.35">
      <c r="C52" s="216" t="s">
        <v>20</v>
      </c>
      <c r="D52" s="217">
        <f>COUNT(E38:E41,G38:G41)</f>
        <v>6</v>
      </c>
      <c r="F52" s="214"/>
    </row>
    <row r="54" spans="1:12" ht="18.75" x14ac:dyDescent="0.3">
      <c r="A54" s="218" t="s">
        <v>1</v>
      </c>
      <c r="B54" s="219" t="s">
        <v>85</v>
      </c>
    </row>
    <row r="55" spans="1:12" ht="18.75" x14ac:dyDescent="0.3">
      <c r="A55" s="145" t="s">
        <v>86</v>
      </c>
      <c r="B55" s="220" t="str">
        <f>B21</f>
        <v>Each  dispersible tablet contains: Rifampicin BP 75 mg and Isoniazid BP 50 mg.</v>
      </c>
    </row>
    <row r="56" spans="1:12" ht="26.25" customHeight="1" x14ac:dyDescent="0.4">
      <c r="A56" s="220" t="s">
        <v>87</v>
      </c>
      <c r="B56" s="221">
        <v>75</v>
      </c>
      <c r="C56" s="145" t="str">
        <f>B20</f>
        <v xml:space="preserve">RIFAMPICIN 75 mg </v>
      </c>
      <c r="H56" s="200"/>
    </row>
    <row r="57" spans="1:12" ht="18.75" x14ac:dyDescent="0.3">
      <c r="A57" s="220" t="s">
        <v>88</v>
      </c>
      <c r="B57" s="222">
        <f>Uniformity!C46</f>
        <v>481.05450000000002</v>
      </c>
      <c r="H57" s="200"/>
    </row>
    <row r="58" spans="1:12" ht="19.5" customHeight="1" thickBot="1" x14ac:dyDescent="0.35">
      <c r="H58" s="200"/>
    </row>
    <row r="59" spans="1:12" s="103" customFormat="1" ht="27" customHeight="1" thickBot="1" x14ac:dyDescent="0.45">
      <c r="A59" s="169" t="s">
        <v>89</v>
      </c>
      <c r="B59" s="170">
        <v>50</v>
      </c>
      <c r="C59" s="145"/>
      <c r="D59" s="223" t="s">
        <v>90</v>
      </c>
      <c r="E59" s="224" t="s">
        <v>62</v>
      </c>
      <c r="F59" s="224" t="s">
        <v>63</v>
      </c>
      <c r="G59" s="224" t="s">
        <v>91</v>
      </c>
      <c r="H59" s="173" t="s">
        <v>92</v>
      </c>
      <c r="L59" s="159"/>
    </row>
    <row r="60" spans="1:12" s="103" customFormat="1" ht="26.25" customHeight="1" x14ac:dyDescent="0.4">
      <c r="A60" s="171" t="s">
        <v>93</v>
      </c>
      <c r="B60" s="172">
        <v>5</v>
      </c>
      <c r="C60" s="501" t="s">
        <v>94</v>
      </c>
      <c r="D60" s="504">
        <v>482.73</v>
      </c>
      <c r="E60" s="225">
        <v>1</v>
      </c>
      <c r="F60" s="226">
        <v>48394705</v>
      </c>
      <c r="G60" s="227">
        <f>IF(ISBLANK(F60),"-",(F60/$D$50*$D$47*$B$68)*($B$57/$D$60))</f>
        <v>70.111113348553459</v>
      </c>
      <c r="H60" s="228">
        <f t="shared" ref="H60:H71" si="0">IF(ISBLANK(F60),"-",(G60/$B$56)*100)</f>
        <v>93.481484464737946</v>
      </c>
      <c r="L60" s="159"/>
    </row>
    <row r="61" spans="1:12" s="103" customFormat="1" ht="26.25" customHeight="1" x14ac:dyDescent="0.4">
      <c r="A61" s="171" t="s">
        <v>95</v>
      </c>
      <c r="B61" s="172">
        <v>50</v>
      </c>
      <c r="C61" s="502"/>
      <c r="D61" s="505"/>
      <c r="E61" s="229">
        <v>2</v>
      </c>
      <c r="F61" s="184">
        <v>48287431</v>
      </c>
      <c r="G61" s="230">
        <f>IF(ISBLANK(F61),"-",(F61/$D$50*$D$47*$B$68)*($B$57/$D$60))</f>
        <v>69.955701727109471</v>
      </c>
      <c r="H61" s="231">
        <f t="shared" si="0"/>
        <v>93.274268969479294</v>
      </c>
      <c r="L61" s="159"/>
    </row>
    <row r="62" spans="1:12" s="103" customFormat="1" ht="26.25" customHeight="1" x14ac:dyDescent="0.4">
      <c r="A62" s="171" t="s">
        <v>96</v>
      </c>
      <c r="B62" s="172">
        <v>1</v>
      </c>
      <c r="C62" s="502"/>
      <c r="D62" s="505"/>
      <c r="E62" s="229">
        <v>3</v>
      </c>
      <c r="F62" s="232">
        <v>48521647</v>
      </c>
      <c r="G62" s="230">
        <f>IF(ISBLANK(F62),"-",(F62/$D$50*$D$47*$B$68)*($B$57/$D$60))</f>
        <v>70.295018694204231</v>
      </c>
      <c r="H62" s="231">
        <f t="shared" si="0"/>
        <v>93.726691592272303</v>
      </c>
      <c r="L62" s="159"/>
    </row>
    <row r="63" spans="1:12" ht="27" customHeight="1" thickBot="1" x14ac:dyDescent="0.45">
      <c r="A63" s="171" t="s">
        <v>97</v>
      </c>
      <c r="B63" s="172">
        <v>1</v>
      </c>
      <c r="C63" s="503"/>
      <c r="D63" s="506"/>
      <c r="E63" s="233">
        <v>4</v>
      </c>
      <c r="F63" s="234"/>
      <c r="G63" s="230" t="str">
        <f>IF(ISBLANK(F63),"-",(F63/$D$50*$D$47*$B$68)*($B$57/$D$60))</f>
        <v>-</v>
      </c>
      <c r="H63" s="231" t="str">
        <f t="shared" si="0"/>
        <v>-</v>
      </c>
    </row>
    <row r="64" spans="1:12" ht="26.25" customHeight="1" x14ac:dyDescent="0.4">
      <c r="A64" s="171" t="s">
        <v>98</v>
      </c>
      <c r="B64" s="172">
        <v>1</v>
      </c>
      <c r="C64" s="501" t="s">
        <v>99</v>
      </c>
      <c r="D64" s="504">
        <v>482.45</v>
      </c>
      <c r="E64" s="225">
        <v>1</v>
      </c>
      <c r="F64" s="226">
        <v>47894193</v>
      </c>
      <c r="G64" s="227">
        <f>IF(ISBLANK(F64),"-",(F64/$D$50*$D$47*$B$68)*($B$57/$D$64))</f>
        <v>69.426273614779859</v>
      </c>
      <c r="H64" s="228">
        <f t="shared" si="0"/>
        <v>92.568364819706488</v>
      </c>
    </row>
    <row r="65" spans="1:8" ht="26.25" customHeight="1" x14ac:dyDescent="0.4">
      <c r="A65" s="171" t="s">
        <v>100</v>
      </c>
      <c r="B65" s="172">
        <v>1</v>
      </c>
      <c r="C65" s="502"/>
      <c r="D65" s="505"/>
      <c r="E65" s="229">
        <v>2</v>
      </c>
      <c r="F65" s="184">
        <v>47691391</v>
      </c>
      <c r="G65" s="230">
        <f>IF(ISBLANK(F65),"-",(F65/$D$50*$D$47*$B$68)*($B$57/$D$64))</f>
        <v>69.132296699005863</v>
      </c>
      <c r="H65" s="231">
        <f t="shared" si="0"/>
        <v>92.176395598674489</v>
      </c>
    </row>
    <row r="66" spans="1:8" ht="26.25" customHeight="1" x14ac:dyDescent="0.4">
      <c r="A66" s="171" t="s">
        <v>101</v>
      </c>
      <c r="B66" s="172">
        <v>1</v>
      </c>
      <c r="C66" s="502"/>
      <c r="D66" s="505"/>
      <c r="E66" s="229">
        <v>3</v>
      </c>
      <c r="F66" s="184">
        <v>47728275</v>
      </c>
      <c r="G66" s="230">
        <f>IF(ISBLANK(F66),"-",(F66/$D$50*$D$47*$B$68)*($B$57/$D$64))</f>
        <v>69.185762860884978</v>
      </c>
      <c r="H66" s="231">
        <f t="shared" si="0"/>
        <v>92.247683814513309</v>
      </c>
    </row>
    <row r="67" spans="1:8" ht="27" customHeight="1" thickBot="1" x14ac:dyDescent="0.45">
      <c r="A67" s="171" t="s">
        <v>102</v>
      </c>
      <c r="B67" s="172">
        <v>1</v>
      </c>
      <c r="C67" s="503"/>
      <c r="D67" s="506"/>
      <c r="E67" s="233">
        <v>4</v>
      </c>
      <c r="F67" s="234"/>
      <c r="G67" s="235" t="str">
        <f>IF(ISBLANK(F67),"-",(F67/$D$50*$D$47*$B$68)*($B$57/$D$64))</f>
        <v>-</v>
      </c>
      <c r="H67" s="236" t="str">
        <f t="shared" si="0"/>
        <v>-</v>
      </c>
    </row>
    <row r="68" spans="1:8" ht="26.25" customHeight="1" x14ac:dyDescent="0.4">
      <c r="A68" s="171" t="s">
        <v>103</v>
      </c>
      <c r="B68" s="237">
        <f>(B67/B66)*(B65/B64)*(B63/B62)*(B61/B60)*B59</f>
        <v>500</v>
      </c>
      <c r="C68" s="501" t="s">
        <v>104</v>
      </c>
      <c r="D68" s="504">
        <v>482.49</v>
      </c>
      <c r="E68" s="225">
        <v>1</v>
      </c>
      <c r="F68" s="226">
        <v>47364816</v>
      </c>
      <c r="G68" s="227">
        <f>IF(ISBLANK(F68),"-",(F68/$D$50*$D$47*$B$68)*($B$57/$D$68))</f>
        <v>68.653209363030726</v>
      </c>
      <c r="H68" s="231">
        <f t="shared" si="0"/>
        <v>91.537612484040963</v>
      </c>
    </row>
    <row r="69" spans="1:8" ht="27" customHeight="1" thickBot="1" x14ac:dyDescent="0.45">
      <c r="A69" s="216" t="s">
        <v>105</v>
      </c>
      <c r="B69" s="238">
        <f>(D47*B68)/B56*B57</f>
        <v>513.12480000000005</v>
      </c>
      <c r="C69" s="502"/>
      <c r="D69" s="505"/>
      <c r="E69" s="229">
        <v>2</v>
      </c>
      <c r="F69" s="184">
        <v>47419941</v>
      </c>
      <c r="G69" s="230">
        <f>IF(ISBLANK(F69),"-",(F69/$D$50*$D$47*$B$68)*($B$57/$D$68))</f>
        <v>68.733110616445003</v>
      </c>
      <c r="H69" s="231">
        <f t="shared" si="0"/>
        <v>91.644147488593347</v>
      </c>
    </row>
    <row r="70" spans="1:8" ht="26.25" customHeight="1" x14ac:dyDescent="0.4">
      <c r="A70" s="508" t="s">
        <v>78</v>
      </c>
      <c r="B70" s="509"/>
      <c r="C70" s="502"/>
      <c r="D70" s="505"/>
      <c r="E70" s="229">
        <v>3</v>
      </c>
      <c r="F70" s="184">
        <v>47332156</v>
      </c>
      <c r="G70" s="230">
        <f>IF(ISBLANK(F70),"-",(F70/$D$50*$D$47*$B$68)*($B$57/$D$68))</f>
        <v>68.605870135157502</v>
      </c>
      <c r="H70" s="231">
        <f t="shared" si="0"/>
        <v>91.474493513543337</v>
      </c>
    </row>
    <row r="71" spans="1:8" ht="27" customHeight="1" thickBot="1" x14ac:dyDescent="0.45">
      <c r="A71" s="510"/>
      <c r="B71" s="511"/>
      <c r="C71" s="507"/>
      <c r="D71" s="506"/>
      <c r="E71" s="233">
        <v>4</v>
      </c>
      <c r="F71" s="234"/>
      <c r="G71" s="235" t="str">
        <f>IF(ISBLANK(F71),"-",(F71/$D$50*$D$47*$B$68)*($B$57/$D$68))</f>
        <v>-</v>
      </c>
      <c r="H71" s="236" t="str">
        <f t="shared" si="0"/>
        <v>-</v>
      </c>
    </row>
    <row r="72" spans="1:8" ht="26.25" customHeight="1" x14ac:dyDescent="0.4">
      <c r="A72" s="200"/>
      <c r="B72" s="200"/>
      <c r="C72" s="200"/>
      <c r="D72" s="200"/>
      <c r="E72" s="200"/>
      <c r="F72" s="239" t="s">
        <v>71</v>
      </c>
      <c r="G72" s="240">
        <f>AVERAGE(G60:G71)</f>
        <v>69.344261895463447</v>
      </c>
      <c r="H72" s="241">
        <f>AVERAGE(H60:H71)</f>
        <v>92.459015860617939</v>
      </c>
    </row>
    <row r="73" spans="1:8" ht="26.25" customHeight="1" x14ac:dyDescent="0.4">
      <c r="C73" s="200"/>
      <c r="D73" s="200"/>
      <c r="E73" s="200"/>
      <c r="F73" s="242" t="s">
        <v>84</v>
      </c>
      <c r="G73" s="243">
        <f>STDEV(G60:G71)/G72</f>
        <v>9.3163824331624866E-3</v>
      </c>
      <c r="H73" s="244">
        <f>STDEV(H60:H71)/H72</f>
        <v>9.3163824331624675E-3</v>
      </c>
    </row>
    <row r="74" spans="1:8" ht="27" customHeight="1" thickBot="1" x14ac:dyDescent="0.45">
      <c r="A74" s="200"/>
      <c r="B74" s="200"/>
      <c r="C74" s="200"/>
      <c r="D74" s="200"/>
      <c r="E74" s="202"/>
      <c r="F74" s="245" t="s">
        <v>20</v>
      </c>
      <c r="G74" s="246">
        <f>COUNT(G60:G71)</f>
        <v>9</v>
      </c>
      <c r="H74" s="246">
        <f>COUNT(H60:H71)</f>
        <v>9</v>
      </c>
    </row>
    <row r="76" spans="1:8" ht="26.25" customHeight="1" x14ac:dyDescent="0.4">
      <c r="A76" s="155" t="s">
        <v>106</v>
      </c>
      <c r="B76" s="156" t="s">
        <v>107</v>
      </c>
      <c r="C76" s="492" t="str">
        <f>B26</f>
        <v>RIFAMPICIN</v>
      </c>
      <c r="D76" s="492"/>
      <c r="E76" s="145" t="s">
        <v>108</v>
      </c>
      <c r="F76" s="145"/>
      <c r="G76" s="247">
        <f>H72</f>
        <v>92.459015860617939</v>
      </c>
      <c r="H76" s="160"/>
    </row>
    <row r="77" spans="1:8" ht="18.75" x14ac:dyDescent="0.3">
      <c r="A77" s="154" t="s">
        <v>109</v>
      </c>
      <c r="B77" s="154" t="s">
        <v>110</v>
      </c>
    </row>
    <row r="78" spans="1:8" ht="18.75" x14ac:dyDescent="0.3">
      <c r="A78" s="154"/>
      <c r="B78" s="154"/>
    </row>
    <row r="79" spans="1:8" ht="26.25" customHeight="1" x14ac:dyDescent="0.4">
      <c r="A79" s="155" t="s">
        <v>4</v>
      </c>
      <c r="B79" s="513"/>
      <c r="C79" s="513"/>
    </row>
    <row r="80" spans="1:8" ht="26.25" customHeight="1" x14ac:dyDescent="0.4">
      <c r="A80" s="156" t="s">
        <v>48</v>
      </c>
      <c r="B80" s="513"/>
      <c r="C80" s="513"/>
    </row>
    <row r="81" spans="1:12" ht="27" customHeight="1" thickBot="1" x14ac:dyDescent="0.45">
      <c r="A81" s="156" t="s">
        <v>6</v>
      </c>
      <c r="B81" s="157"/>
    </row>
    <row r="82" spans="1:12" s="103" customFormat="1" ht="27" customHeight="1" thickBot="1" x14ac:dyDescent="0.45">
      <c r="A82" s="156" t="s">
        <v>49</v>
      </c>
      <c r="B82" s="158">
        <v>0</v>
      </c>
      <c r="C82" s="489" t="s">
        <v>50</v>
      </c>
      <c r="D82" s="490"/>
      <c r="E82" s="490"/>
      <c r="F82" s="490"/>
      <c r="G82" s="491"/>
      <c r="I82" s="159"/>
      <c r="J82" s="159"/>
      <c r="K82" s="159"/>
      <c r="L82" s="159"/>
    </row>
    <row r="83" spans="1:12" s="103" customFormat="1" ht="19.5" customHeight="1" thickBot="1" x14ac:dyDescent="0.35">
      <c r="A83" s="156" t="s">
        <v>51</v>
      </c>
      <c r="B83" s="160">
        <f>B81-B82</f>
        <v>0</v>
      </c>
      <c r="C83" s="161"/>
      <c r="D83" s="161"/>
      <c r="E83" s="161"/>
      <c r="F83" s="161"/>
      <c r="G83" s="162"/>
      <c r="I83" s="159"/>
      <c r="J83" s="159"/>
      <c r="K83" s="159"/>
      <c r="L83" s="159"/>
    </row>
    <row r="84" spans="1:12" s="103" customFormat="1" ht="27" customHeight="1" thickBot="1" x14ac:dyDescent="0.45">
      <c r="A84" s="156" t="s">
        <v>52</v>
      </c>
      <c r="B84" s="163"/>
      <c r="C84" s="477" t="s">
        <v>111</v>
      </c>
      <c r="D84" s="478"/>
      <c r="E84" s="478"/>
      <c r="F84" s="478"/>
      <c r="G84" s="478"/>
      <c r="H84" s="479"/>
      <c r="I84" s="159"/>
      <c r="J84" s="159"/>
      <c r="K84" s="159"/>
      <c r="L84" s="159"/>
    </row>
    <row r="85" spans="1:12" s="103" customFormat="1" ht="27" customHeight="1" thickBot="1" x14ac:dyDescent="0.45">
      <c r="A85" s="156" t="s">
        <v>54</v>
      </c>
      <c r="B85" s="163"/>
      <c r="C85" s="477" t="s">
        <v>112</v>
      </c>
      <c r="D85" s="478"/>
      <c r="E85" s="478"/>
      <c r="F85" s="478"/>
      <c r="G85" s="478"/>
      <c r="H85" s="479"/>
      <c r="I85" s="159"/>
      <c r="J85" s="159"/>
      <c r="K85" s="159"/>
      <c r="L85" s="159"/>
    </row>
    <row r="86" spans="1:12" s="103" customFormat="1" ht="18.75" x14ac:dyDescent="0.3">
      <c r="A86" s="156"/>
      <c r="B86" s="166"/>
      <c r="C86" s="167"/>
      <c r="D86" s="167"/>
      <c r="E86" s="167"/>
      <c r="F86" s="167"/>
      <c r="G86" s="167"/>
      <c r="H86" s="167"/>
      <c r="I86" s="159"/>
      <c r="J86" s="159"/>
      <c r="K86" s="159"/>
      <c r="L86" s="159"/>
    </row>
    <row r="87" spans="1:12" s="103" customFormat="1" ht="18.75" x14ac:dyDescent="0.3">
      <c r="A87" s="156" t="s">
        <v>56</v>
      </c>
      <c r="B87" s="168" t="e">
        <f>B84/B85</f>
        <v>#DIV/0!</v>
      </c>
      <c r="C87" s="145" t="s">
        <v>57</v>
      </c>
      <c r="D87" s="145"/>
      <c r="E87" s="145"/>
      <c r="F87" s="145"/>
      <c r="G87" s="145"/>
      <c r="I87" s="159"/>
      <c r="J87" s="159"/>
      <c r="K87" s="159"/>
      <c r="L87" s="159"/>
    </row>
    <row r="88" spans="1:12" ht="19.5" customHeight="1" thickBot="1" x14ac:dyDescent="0.35">
      <c r="A88" s="154"/>
      <c r="B88" s="154"/>
    </row>
    <row r="89" spans="1:12" ht="27" customHeight="1" thickBot="1" x14ac:dyDescent="0.45">
      <c r="A89" s="169" t="s">
        <v>58</v>
      </c>
      <c r="B89" s="170"/>
      <c r="D89" s="248" t="s">
        <v>59</v>
      </c>
      <c r="E89" s="249"/>
      <c r="F89" s="493" t="s">
        <v>60</v>
      </c>
      <c r="G89" s="495"/>
    </row>
    <row r="90" spans="1:12" ht="27" customHeight="1" thickBot="1" x14ac:dyDescent="0.45">
      <c r="A90" s="171" t="s">
        <v>61</v>
      </c>
      <c r="B90" s="172"/>
      <c r="C90" s="250" t="s">
        <v>62</v>
      </c>
      <c r="D90" s="174" t="s">
        <v>63</v>
      </c>
      <c r="E90" s="175" t="s">
        <v>64</v>
      </c>
      <c r="F90" s="174" t="s">
        <v>63</v>
      </c>
      <c r="G90" s="251" t="s">
        <v>64</v>
      </c>
      <c r="I90" s="177" t="s">
        <v>65</v>
      </c>
    </row>
    <row r="91" spans="1:12" ht="26.25" customHeight="1" x14ac:dyDescent="0.4">
      <c r="A91" s="171" t="s">
        <v>66</v>
      </c>
      <c r="B91" s="172"/>
      <c r="C91" s="252">
        <v>1</v>
      </c>
      <c r="D91" s="179"/>
      <c r="E91" s="180" t="str">
        <f>IF(ISBLANK(D91),"-",$D$101/$D$98*D91)</f>
        <v>-</v>
      </c>
      <c r="F91" s="179"/>
      <c r="G91" s="181" t="str">
        <f>IF(ISBLANK(F91),"-",$D$101/$F$98*F91)</f>
        <v>-</v>
      </c>
      <c r="I91" s="182"/>
    </row>
    <row r="92" spans="1:12" ht="26.25" customHeight="1" x14ac:dyDescent="0.4">
      <c r="A92" s="171" t="s">
        <v>67</v>
      </c>
      <c r="B92" s="172">
        <v>1</v>
      </c>
      <c r="C92" s="200">
        <v>2</v>
      </c>
      <c r="D92" s="184"/>
      <c r="E92" s="185" t="str">
        <f>IF(ISBLANK(D92),"-",$D$101/$D$98*D92)</f>
        <v>-</v>
      </c>
      <c r="F92" s="184"/>
      <c r="G92" s="186" t="str">
        <f>IF(ISBLANK(F92),"-",$D$101/$F$98*F92)</f>
        <v>-</v>
      </c>
      <c r="I92" s="496" t="e">
        <f>ABS((F96/D96*D95)-F95)/D95</f>
        <v>#DIV/0!</v>
      </c>
    </row>
    <row r="93" spans="1:12" ht="26.25" customHeight="1" x14ac:dyDescent="0.4">
      <c r="A93" s="171" t="s">
        <v>68</v>
      </c>
      <c r="B93" s="172">
        <v>1</v>
      </c>
      <c r="C93" s="200">
        <v>3</v>
      </c>
      <c r="D93" s="184"/>
      <c r="E93" s="185" t="str">
        <f>IF(ISBLANK(D93),"-",$D$101/$D$98*D93)</f>
        <v>-</v>
      </c>
      <c r="F93" s="184"/>
      <c r="G93" s="186" t="str">
        <f>IF(ISBLANK(F93),"-",$D$101/$F$98*F93)</f>
        <v>-</v>
      </c>
      <c r="I93" s="496"/>
    </row>
    <row r="94" spans="1:12" ht="27" customHeight="1" thickBot="1" x14ac:dyDescent="0.45">
      <c r="A94" s="171" t="s">
        <v>69</v>
      </c>
      <c r="B94" s="172">
        <v>1</v>
      </c>
      <c r="C94" s="253">
        <v>4</v>
      </c>
      <c r="D94" s="188"/>
      <c r="E94" s="189" t="str">
        <f>IF(ISBLANK(D94),"-",$D$101/$D$98*D94)</f>
        <v>-</v>
      </c>
      <c r="F94" s="254"/>
      <c r="G94" s="190" t="str">
        <f>IF(ISBLANK(F94),"-",$D$101/$F$98*F94)</f>
        <v>-</v>
      </c>
      <c r="I94" s="191"/>
    </row>
    <row r="95" spans="1:12" ht="27" customHeight="1" thickBot="1" x14ac:dyDescent="0.45">
      <c r="A95" s="171" t="s">
        <v>70</v>
      </c>
      <c r="B95" s="172">
        <v>1</v>
      </c>
      <c r="C95" s="156" t="s">
        <v>71</v>
      </c>
      <c r="D95" s="255" t="e">
        <f>AVERAGE(D91:D94)</f>
        <v>#DIV/0!</v>
      </c>
      <c r="E95" s="194" t="e">
        <f>AVERAGE(E91:E94)</f>
        <v>#DIV/0!</v>
      </c>
      <c r="F95" s="256" t="e">
        <f>AVERAGE(F91:F94)</f>
        <v>#DIV/0!</v>
      </c>
      <c r="G95" s="257" t="e">
        <f>AVERAGE(G91:G94)</f>
        <v>#DIV/0!</v>
      </c>
    </row>
    <row r="96" spans="1:12" ht="26.25" customHeight="1" x14ac:dyDescent="0.4">
      <c r="A96" s="171" t="s">
        <v>72</v>
      </c>
      <c r="B96" s="157">
        <v>1</v>
      </c>
      <c r="C96" s="258" t="s">
        <v>113</v>
      </c>
      <c r="D96" s="259"/>
      <c r="E96" s="145"/>
      <c r="F96" s="197"/>
    </row>
    <row r="97" spans="1:10" ht="26.25" customHeight="1" x14ac:dyDescent="0.4">
      <c r="A97" s="171" t="s">
        <v>74</v>
      </c>
      <c r="B97" s="157">
        <v>1</v>
      </c>
      <c r="C97" s="260" t="s">
        <v>114</v>
      </c>
      <c r="D97" s="261" t="e">
        <f>D96*$B$87</f>
        <v>#DIV/0!</v>
      </c>
      <c r="E97" s="200"/>
      <c r="F97" s="199" t="e">
        <f>F96*$B$87</f>
        <v>#DIV/0!</v>
      </c>
    </row>
    <row r="98" spans="1:10" ht="19.5" customHeight="1" thickBot="1" x14ac:dyDescent="0.35">
      <c r="A98" s="171" t="s">
        <v>76</v>
      </c>
      <c r="B98" s="200" t="e">
        <f>(B97/B96)*(B95/B94)*(B93/B92)*(B91/B90)*B89</f>
        <v>#DIV/0!</v>
      </c>
      <c r="C98" s="260" t="s">
        <v>115</v>
      </c>
      <c r="D98" s="262" t="e">
        <f>D97*$B$83/100</f>
        <v>#DIV/0!</v>
      </c>
      <c r="E98" s="202"/>
      <c r="F98" s="201" t="e">
        <f>F97*$B$83/100</f>
        <v>#DIV/0!</v>
      </c>
    </row>
    <row r="99" spans="1:10" ht="19.5" customHeight="1" thickBot="1" x14ac:dyDescent="0.35">
      <c r="A99" s="497" t="s">
        <v>78</v>
      </c>
      <c r="B99" s="514"/>
      <c r="C99" s="260" t="s">
        <v>116</v>
      </c>
      <c r="D99" s="263" t="e">
        <f>D98/$B$98</f>
        <v>#DIV/0!</v>
      </c>
      <c r="E99" s="202"/>
      <c r="F99" s="205" t="e">
        <f>F98/$B$98</f>
        <v>#DIV/0!</v>
      </c>
      <c r="H99" s="136"/>
    </row>
    <row r="100" spans="1:10" ht="19.5" customHeight="1" thickBot="1" x14ac:dyDescent="0.35">
      <c r="A100" s="499"/>
      <c r="B100" s="515"/>
      <c r="C100" s="260" t="s">
        <v>80</v>
      </c>
      <c r="D100" s="264" t="e">
        <f>$B$56/$B$116</f>
        <v>#DIV/0!</v>
      </c>
      <c r="F100" s="210"/>
      <c r="G100" s="265"/>
      <c r="H100" s="136"/>
    </row>
    <row r="101" spans="1:10" ht="18.75" x14ac:dyDescent="0.3">
      <c r="C101" s="260" t="s">
        <v>81</v>
      </c>
      <c r="D101" s="261" t="e">
        <f>D100*$B$98</f>
        <v>#DIV/0!</v>
      </c>
      <c r="F101" s="210"/>
      <c r="H101" s="136"/>
    </row>
    <row r="102" spans="1:10" ht="19.5" customHeight="1" thickBot="1" x14ac:dyDescent="0.35">
      <c r="C102" s="266" t="s">
        <v>82</v>
      </c>
      <c r="D102" s="267" t="e">
        <f>D101/B34</f>
        <v>#DIV/0!</v>
      </c>
      <c r="F102" s="214"/>
      <c r="H102" s="136"/>
      <c r="J102" s="268"/>
    </row>
    <row r="103" spans="1:10" ht="18.75" x14ac:dyDescent="0.3">
      <c r="C103" s="269" t="s">
        <v>117</v>
      </c>
      <c r="D103" s="270" t="e">
        <f>AVERAGE(E91:E94,G91:G94)</f>
        <v>#DIV/0!</v>
      </c>
      <c r="F103" s="214"/>
      <c r="G103" s="265"/>
      <c r="H103" s="136"/>
      <c r="J103" s="271"/>
    </row>
    <row r="104" spans="1:10" ht="18.75" x14ac:dyDescent="0.3">
      <c r="C104" s="242" t="s">
        <v>84</v>
      </c>
      <c r="D104" s="272" t="e">
        <f>STDEV(E91:E94,G91:G94)/D103</f>
        <v>#DIV/0!</v>
      </c>
      <c r="F104" s="214"/>
      <c r="H104" s="136"/>
      <c r="J104" s="271"/>
    </row>
    <row r="105" spans="1:10" ht="19.5" customHeight="1" thickBot="1" x14ac:dyDescent="0.35">
      <c r="C105" s="245" t="s">
        <v>20</v>
      </c>
      <c r="D105" s="273">
        <f>COUNT(E91:E94,G91:G94)</f>
        <v>0</v>
      </c>
      <c r="F105" s="214"/>
      <c r="H105" s="136"/>
      <c r="J105" s="271"/>
    </row>
    <row r="106" spans="1:10" ht="19.5" customHeight="1" thickBot="1" x14ac:dyDescent="0.35">
      <c r="A106" s="218"/>
      <c r="B106" s="218"/>
      <c r="C106" s="218"/>
      <c r="D106" s="218"/>
      <c r="E106" s="218"/>
    </row>
    <row r="107" spans="1:10" ht="27" customHeight="1" thickBot="1" x14ac:dyDescent="0.45">
      <c r="A107" s="169" t="s">
        <v>118</v>
      </c>
      <c r="B107" s="170"/>
      <c r="C107" s="224" t="s">
        <v>119</v>
      </c>
      <c r="D107" s="224" t="s">
        <v>63</v>
      </c>
      <c r="E107" s="224" t="s">
        <v>120</v>
      </c>
      <c r="F107" s="274" t="s">
        <v>121</v>
      </c>
    </row>
    <row r="108" spans="1:10" ht="26.25" customHeight="1" x14ac:dyDescent="0.4">
      <c r="A108" s="171" t="s">
        <v>122</v>
      </c>
      <c r="B108" s="172"/>
      <c r="C108" s="225">
        <v>1</v>
      </c>
      <c r="D108" s="275"/>
      <c r="E108" s="276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71" t="s">
        <v>95</v>
      </c>
      <c r="B109" s="172"/>
      <c r="C109" s="229">
        <v>2</v>
      </c>
      <c r="D109" s="278"/>
      <c r="E109" s="279" t="str">
        <f t="shared" si="1"/>
        <v>-</v>
      </c>
      <c r="F109" s="280" t="str">
        <f t="shared" si="2"/>
        <v>-</v>
      </c>
    </row>
    <row r="110" spans="1:10" ht="26.25" customHeight="1" x14ac:dyDescent="0.4">
      <c r="A110" s="171" t="s">
        <v>96</v>
      </c>
      <c r="B110" s="172">
        <v>1</v>
      </c>
      <c r="C110" s="229">
        <v>3</v>
      </c>
      <c r="D110" s="278"/>
      <c r="E110" s="279" t="str">
        <f t="shared" si="1"/>
        <v>-</v>
      </c>
      <c r="F110" s="280" t="str">
        <f t="shared" si="2"/>
        <v>-</v>
      </c>
    </row>
    <row r="111" spans="1:10" ht="26.25" customHeight="1" x14ac:dyDescent="0.4">
      <c r="A111" s="171" t="s">
        <v>97</v>
      </c>
      <c r="B111" s="172">
        <v>1</v>
      </c>
      <c r="C111" s="229">
        <v>4</v>
      </c>
      <c r="D111" s="278"/>
      <c r="E111" s="279" t="str">
        <f t="shared" si="1"/>
        <v>-</v>
      </c>
      <c r="F111" s="280" t="str">
        <f t="shared" si="2"/>
        <v>-</v>
      </c>
    </row>
    <row r="112" spans="1:10" ht="26.25" customHeight="1" x14ac:dyDescent="0.4">
      <c r="A112" s="171" t="s">
        <v>98</v>
      </c>
      <c r="B112" s="172">
        <v>1</v>
      </c>
      <c r="C112" s="229">
        <v>5</v>
      </c>
      <c r="D112" s="278"/>
      <c r="E112" s="279" t="str">
        <f t="shared" si="1"/>
        <v>-</v>
      </c>
      <c r="F112" s="280" t="str">
        <f t="shared" si="2"/>
        <v>-</v>
      </c>
    </row>
    <row r="113" spans="1:10" ht="27" customHeight="1" thickBot="1" x14ac:dyDescent="0.45">
      <c r="A113" s="171" t="s">
        <v>100</v>
      </c>
      <c r="B113" s="172">
        <v>1</v>
      </c>
      <c r="C113" s="233">
        <v>6</v>
      </c>
      <c r="D113" s="281"/>
      <c r="E113" s="282" t="str">
        <f t="shared" si="1"/>
        <v>-</v>
      </c>
      <c r="F113" s="283" t="str">
        <f t="shared" si="2"/>
        <v>-</v>
      </c>
    </row>
    <row r="114" spans="1:10" ht="27" customHeight="1" thickBot="1" x14ac:dyDescent="0.45">
      <c r="A114" s="171" t="s">
        <v>101</v>
      </c>
      <c r="B114" s="172">
        <v>1</v>
      </c>
      <c r="C114" s="284"/>
      <c r="D114" s="200"/>
      <c r="E114" s="145"/>
      <c r="F114" s="280"/>
    </row>
    <row r="115" spans="1:10" ht="26.25" customHeight="1" x14ac:dyDescent="0.4">
      <c r="A115" s="171" t="s">
        <v>102</v>
      </c>
      <c r="B115" s="172">
        <v>1</v>
      </c>
      <c r="C115" s="284"/>
      <c r="D115" s="285" t="s">
        <v>71</v>
      </c>
      <c r="E115" s="286" t="e">
        <f>AVERAGE(E108:E113)</f>
        <v>#DIV/0!</v>
      </c>
      <c r="F115" s="287" t="e">
        <f>AVERAGE(F108:F113)</f>
        <v>#DIV/0!</v>
      </c>
    </row>
    <row r="116" spans="1:10" ht="27" customHeight="1" thickBot="1" x14ac:dyDescent="0.45">
      <c r="A116" s="171" t="s">
        <v>103</v>
      </c>
      <c r="B116" s="183" t="e">
        <f>(B115/B114)*(B113/B112)*(B111/B110)*(B109/B108)*B107</f>
        <v>#DIV/0!</v>
      </c>
      <c r="C116" s="288"/>
      <c r="D116" s="289" t="s">
        <v>84</v>
      </c>
      <c r="E116" s="243" t="e">
        <f>STDEV(E108:E113)/E115</f>
        <v>#DIV/0!</v>
      </c>
      <c r="F116" s="290" t="e">
        <f>STDEV(F108:F113)/F115</f>
        <v>#DIV/0!</v>
      </c>
      <c r="I116" s="145"/>
    </row>
    <row r="117" spans="1:10" ht="27" customHeight="1" thickBot="1" x14ac:dyDescent="0.45">
      <c r="A117" s="497" t="s">
        <v>78</v>
      </c>
      <c r="B117" s="498"/>
      <c r="C117" s="291"/>
      <c r="D117" s="245" t="s">
        <v>20</v>
      </c>
      <c r="E117" s="292">
        <f>COUNT(E108:E113)</f>
        <v>0</v>
      </c>
      <c r="F117" s="293">
        <f>COUNT(F108:F113)</f>
        <v>0</v>
      </c>
      <c r="I117" s="145"/>
      <c r="J117" s="271"/>
    </row>
    <row r="118" spans="1:10" ht="26.25" customHeight="1" thickBot="1" x14ac:dyDescent="0.35">
      <c r="A118" s="499"/>
      <c r="B118" s="500"/>
      <c r="C118" s="145"/>
      <c r="D118" s="294"/>
      <c r="E118" s="516" t="s">
        <v>123</v>
      </c>
      <c r="F118" s="517"/>
      <c r="G118" s="145"/>
      <c r="H118" s="145"/>
      <c r="I118" s="145"/>
    </row>
    <row r="119" spans="1:10" ht="25.5" customHeight="1" x14ac:dyDescent="0.4">
      <c r="A119" s="295"/>
      <c r="B119" s="167"/>
      <c r="C119" s="145"/>
      <c r="D119" s="289" t="s">
        <v>124</v>
      </c>
      <c r="E119" s="296">
        <f>MIN(E108:E113)</f>
        <v>0</v>
      </c>
      <c r="F119" s="297">
        <f>MIN(F108:F113)</f>
        <v>0</v>
      </c>
      <c r="G119" s="145"/>
      <c r="H119" s="145"/>
      <c r="I119" s="145"/>
    </row>
    <row r="120" spans="1:10" ht="24" customHeight="1" thickBot="1" x14ac:dyDescent="0.45">
      <c r="A120" s="295"/>
      <c r="B120" s="167"/>
      <c r="C120" s="145"/>
      <c r="D120" s="211" t="s">
        <v>125</v>
      </c>
      <c r="E120" s="298">
        <f>MAX(E108:E113)</f>
        <v>0</v>
      </c>
      <c r="F120" s="299">
        <f>MAX(F108:F113)</f>
        <v>0</v>
      </c>
      <c r="G120" s="145"/>
      <c r="H120" s="145"/>
      <c r="I120" s="145"/>
    </row>
    <row r="121" spans="1:10" ht="27" customHeight="1" x14ac:dyDescent="0.3">
      <c r="A121" s="295"/>
      <c r="B121" s="167"/>
      <c r="C121" s="145"/>
      <c r="D121" s="145"/>
      <c r="E121" s="145"/>
      <c r="F121" s="200"/>
      <c r="G121" s="145"/>
      <c r="H121" s="145"/>
      <c r="I121" s="145"/>
    </row>
    <row r="122" spans="1:10" ht="25.5" customHeight="1" x14ac:dyDescent="0.3">
      <c r="A122" s="295"/>
      <c r="B122" s="167"/>
      <c r="C122" s="145"/>
      <c r="D122" s="145"/>
      <c r="E122" s="145"/>
      <c r="F122" s="200"/>
      <c r="G122" s="145"/>
      <c r="H122" s="145"/>
      <c r="I122" s="145"/>
    </row>
    <row r="123" spans="1:10" ht="18.75" x14ac:dyDescent="0.3">
      <c r="A123" s="295"/>
      <c r="B123" s="167"/>
      <c r="C123" s="145"/>
      <c r="D123" s="145"/>
      <c r="E123" s="145"/>
      <c r="F123" s="200"/>
      <c r="G123" s="145"/>
      <c r="H123" s="145"/>
      <c r="I123" s="145"/>
    </row>
    <row r="124" spans="1:10" ht="45.75" customHeight="1" x14ac:dyDescent="0.65">
      <c r="A124" s="155" t="s">
        <v>106</v>
      </c>
      <c r="B124" s="156" t="s">
        <v>126</v>
      </c>
      <c r="C124" s="492" t="str">
        <f>B26</f>
        <v>RIFAMPICIN</v>
      </c>
      <c r="D124" s="492"/>
      <c r="E124" s="145" t="s">
        <v>127</v>
      </c>
      <c r="F124" s="145"/>
      <c r="G124" s="300" t="e">
        <f>F115</f>
        <v>#DIV/0!</v>
      </c>
      <c r="H124" s="145"/>
      <c r="I124" s="145"/>
    </row>
    <row r="125" spans="1:10" ht="45.75" customHeight="1" x14ac:dyDescent="0.65">
      <c r="A125" s="155"/>
      <c r="B125" s="156" t="s">
        <v>128</v>
      </c>
      <c r="C125" s="156" t="s">
        <v>129</v>
      </c>
      <c r="D125" s="300">
        <f>MIN(F108:F113)</f>
        <v>0</v>
      </c>
      <c r="E125" s="156" t="s">
        <v>130</v>
      </c>
      <c r="F125" s="300">
        <f>MAX(F108:F113)</f>
        <v>0</v>
      </c>
      <c r="G125" s="301"/>
      <c r="H125" s="145"/>
      <c r="I125" s="145"/>
    </row>
    <row r="126" spans="1:10" ht="19.5" customHeight="1" thickBot="1" x14ac:dyDescent="0.35">
      <c r="A126" s="302"/>
      <c r="B126" s="302"/>
      <c r="C126" s="303"/>
      <c r="D126" s="303"/>
      <c r="E126" s="303"/>
      <c r="F126" s="303"/>
      <c r="G126" s="303"/>
      <c r="H126" s="303"/>
    </row>
    <row r="127" spans="1:10" ht="18.75" x14ac:dyDescent="0.3">
      <c r="B127" s="512" t="s">
        <v>26</v>
      </c>
      <c r="C127" s="512"/>
      <c r="E127" s="250" t="s">
        <v>27</v>
      </c>
      <c r="F127" s="304"/>
      <c r="G127" s="512" t="s">
        <v>28</v>
      </c>
      <c r="H127" s="512"/>
    </row>
    <row r="128" spans="1:10" ht="69.95" customHeight="1" x14ac:dyDescent="0.3">
      <c r="A128" s="155" t="s">
        <v>29</v>
      </c>
      <c r="B128" s="305"/>
      <c r="C128" s="305"/>
      <c r="E128" s="305"/>
      <c r="F128" s="145"/>
      <c r="G128" s="305"/>
      <c r="H128" s="305"/>
    </row>
    <row r="129" spans="1:9" ht="69.95" customHeight="1" x14ac:dyDescent="0.3">
      <c r="A129" s="155" t="s">
        <v>30</v>
      </c>
      <c r="B129" s="306"/>
      <c r="C129" s="306"/>
      <c r="E129" s="306"/>
      <c r="F129" s="145"/>
      <c r="G129" s="307"/>
      <c r="H129" s="307"/>
    </row>
    <row r="130" spans="1:9" ht="18.75" x14ac:dyDescent="0.3">
      <c r="A130" s="200"/>
      <c r="B130" s="200"/>
      <c r="C130" s="200"/>
      <c r="D130" s="200"/>
      <c r="E130" s="200"/>
      <c r="F130" s="202"/>
      <c r="G130" s="200"/>
      <c r="H130" s="200"/>
      <c r="I130" s="145"/>
    </row>
    <row r="131" spans="1:9" ht="18.75" x14ac:dyDescent="0.3">
      <c r="A131" s="200"/>
      <c r="B131" s="200"/>
      <c r="C131" s="200"/>
      <c r="D131" s="200"/>
      <c r="E131" s="200"/>
      <c r="F131" s="202"/>
      <c r="G131" s="200"/>
      <c r="H131" s="200"/>
      <c r="I131" s="145"/>
    </row>
    <row r="132" spans="1:9" ht="18.75" x14ac:dyDescent="0.3">
      <c r="A132" s="200"/>
      <c r="B132" s="200"/>
      <c r="C132" s="200"/>
      <c r="D132" s="200"/>
      <c r="E132" s="200"/>
      <c r="F132" s="202"/>
      <c r="G132" s="200"/>
      <c r="H132" s="200"/>
      <c r="I132" s="145"/>
    </row>
    <row r="133" spans="1:9" ht="18.75" x14ac:dyDescent="0.3">
      <c r="A133" s="200"/>
      <c r="B133" s="200"/>
      <c r="C133" s="200"/>
      <c r="D133" s="200"/>
      <c r="E133" s="200"/>
      <c r="F133" s="202"/>
      <c r="G133" s="200"/>
      <c r="H133" s="200"/>
      <c r="I133" s="145"/>
    </row>
    <row r="134" spans="1:9" ht="18.75" x14ac:dyDescent="0.3">
      <c r="A134" s="200"/>
      <c r="B134" s="200"/>
      <c r="C134" s="200"/>
      <c r="D134" s="200"/>
      <c r="E134" s="200"/>
      <c r="F134" s="202"/>
      <c r="G134" s="200"/>
      <c r="H134" s="200"/>
      <c r="I134" s="145"/>
    </row>
    <row r="135" spans="1:9" ht="18.75" x14ac:dyDescent="0.3">
      <c r="A135" s="200"/>
      <c r="B135" s="200"/>
      <c r="C135" s="200"/>
      <c r="D135" s="200"/>
      <c r="E135" s="200"/>
      <c r="F135" s="202"/>
      <c r="G135" s="200"/>
      <c r="H135" s="200"/>
      <c r="I135" s="145"/>
    </row>
    <row r="136" spans="1:9" ht="18.75" x14ac:dyDescent="0.3">
      <c r="A136" s="200"/>
      <c r="B136" s="200"/>
      <c r="C136" s="200"/>
      <c r="D136" s="200"/>
      <c r="E136" s="200"/>
      <c r="F136" s="202"/>
      <c r="G136" s="200"/>
      <c r="H136" s="200"/>
      <c r="I136" s="145"/>
    </row>
    <row r="137" spans="1:9" ht="18.75" x14ac:dyDescent="0.3">
      <c r="A137" s="200"/>
      <c r="B137" s="200"/>
      <c r="C137" s="200"/>
      <c r="D137" s="200"/>
      <c r="E137" s="200"/>
      <c r="F137" s="202"/>
      <c r="G137" s="200"/>
      <c r="H137" s="200"/>
      <c r="I137" s="145"/>
    </row>
    <row r="138" spans="1:9" ht="18.75" x14ac:dyDescent="0.3">
      <c r="A138" s="200"/>
      <c r="B138" s="200"/>
      <c r="C138" s="200"/>
      <c r="D138" s="200"/>
      <c r="E138" s="200"/>
      <c r="F138" s="202"/>
      <c r="G138" s="200"/>
      <c r="H138" s="200"/>
      <c r="I138" s="145"/>
    </row>
    <row r="250" spans="1:1" x14ac:dyDescent="0.25">
      <c r="A250" s="9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41" zoomScaleNormal="55" zoomScaleSheetLayoutView="100" workbookViewId="0">
      <selection activeCell="C60" sqref="C60"/>
    </sheetView>
  </sheetViews>
  <sheetFormatPr defaultRowHeight="13.5" x14ac:dyDescent="0.2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8"/>
  </cols>
  <sheetData>
    <row r="14" spans="1:6" ht="15" customHeight="1" x14ac:dyDescent="0.3">
      <c r="A14" s="92"/>
      <c r="C14" s="94"/>
      <c r="F14" s="94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95" t="s">
        <v>1</v>
      </c>
      <c r="B16" s="96" t="s">
        <v>2</v>
      </c>
    </row>
    <row r="17" spans="1:6" ht="16.5" customHeight="1" x14ac:dyDescent="0.3">
      <c r="A17" s="97" t="s">
        <v>3</v>
      </c>
      <c r="B17" s="97" t="s">
        <v>131</v>
      </c>
      <c r="D17" s="98"/>
      <c r="E17" s="99"/>
    </row>
    <row r="18" spans="1:6" ht="16.5" customHeight="1" x14ac:dyDescent="0.3">
      <c r="A18" s="100" t="s">
        <v>4</v>
      </c>
      <c r="B18" s="93" t="s">
        <v>135</v>
      </c>
      <c r="C18" s="99"/>
      <c r="D18" s="99"/>
      <c r="E18" s="99"/>
    </row>
    <row r="19" spans="1:6" ht="16.5" customHeight="1" x14ac:dyDescent="0.3">
      <c r="A19" s="100" t="s">
        <v>6</v>
      </c>
      <c r="B19" s="101">
        <v>100.33</v>
      </c>
      <c r="C19" s="99"/>
      <c r="D19" s="99"/>
      <c r="E19" s="99"/>
    </row>
    <row r="20" spans="1:6" ht="16.5" customHeight="1" x14ac:dyDescent="0.3">
      <c r="A20" s="97" t="s">
        <v>8</v>
      </c>
      <c r="B20" s="101">
        <v>19.97</v>
      </c>
      <c r="C20" s="99"/>
      <c r="D20" s="99"/>
      <c r="E20" s="99"/>
    </row>
    <row r="21" spans="1:6" ht="16.5" customHeight="1" x14ac:dyDescent="0.3">
      <c r="A21" s="97" t="s">
        <v>10</v>
      </c>
      <c r="B21" s="102">
        <f>19.97/25*5/50</f>
        <v>7.9879999999999993E-2</v>
      </c>
      <c r="C21" s="99"/>
      <c r="D21" s="99"/>
      <c r="E21" s="99"/>
    </row>
    <row r="22" spans="1:6" ht="15.75" customHeight="1" x14ac:dyDescent="0.25">
      <c r="A22" s="99"/>
      <c r="B22" s="99" t="s">
        <v>133</v>
      </c>
      <c r="C22" s="99"/>
      <c r="D22" s="99"/>
      <c r="E22" s="99"/>
    </row>
    <row r="23" spans="1:6" ht="16.5" customHeight="1" x14ac:dyDescent="0.3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566"/>
    </row>
    <row r="24" spans="1:6" ht="16.5" customHeight="1" x14ac:dyDescent="0.3">
      <c r="A24" s="106">
        <v>1</v>
      </c>
      <c r="B24" s="107">
        <v>16516017</v>
      </c>
      <c r="C24" s="107">
        <v>12583.1</v>
      </c>
      <c r="D24" s="108">
        <v>1.3</v>
      </c>
      <c r="E24" s="109">
        <v>5</v>
      </c>
      <c r="F24" s="566"/>
    </row>
    <row r="25" spans="1:6" ht="16.5" customHeight="1" x14ac:dyDescent="0.3">
      <c r="A25" s="106">
        <v>2</v>
      </c>
      <c r="B25" s="107">
        <v>16054742</v>
      </c>
      <c r="C25" s="107">
        <v>12892.3</v>
      </c>
      <c r="D25" s="108">
        <v>1.2</v>
      </c>
      <c r="E25" s="111">
        <v>5</v>
      </c>
      <c r="F25" s="566"/>
    </row>
    <row r="26" spans="1:6" ht="16.5" customHeight="1" x14ac:dyDescent="0.3">
      <c r="A26" s="106">
        <v>3</v>
      </c>
      <c r="B26" s="107">
        <v>16129766</v>
      </c>
      <c r="C26" s="107">
        <v>12735.5</v>
      </c>
      <c r="D26" s="108">
        <v>1.2</v>
      </c>
      <c r="E26" s="111">
        <v>5</v>
      </c>
      <c r="F26" s="566"/>
    </row>
    <row r="27" spans="1:6" ht="16.5" customHeight="1" x14ac:dyDescent="0.3">
      <c r="A27" s="106">
        <v>4</v>
      </c>
      <c r="B27" s="107">
        <v>16047507</v>
      </c>
      <c r="C27" s="107">
        <v>12667.5</v>
      </c>
      <c r="D27" s="108">
        <v>1.2</v>
      </c>
      <c r="E27" s="111">
        <v>5</v>
      </c>
      <c r="F27" s="566"/>
    </row>
    <row r="28" spans="1:6" ht="16.5" customHeight="1" x14ac:dyDescent="0.3">
      <c r="A28" s="106">
        <v>5</v>
      </c>
      <c r="B28" s="107">
        <v>16102194</v>
      </c>
      <c r="C28" s="107">
        <v>12677.8</v>
      </c>
      <c r="D28" s="108">
        <v>1.3</v>
      </c>
      <c r="E28" s="111">
        <v>5</v>
      </c>
      <c r="F28" s="566"/>
    </row>
    <row r="29" spans="1:6" ht="16.5" customHeight="1" x14ac:dyDescent="0.3">
      <c r="A29" s="106">
        <v>6</v>
      </c>
      <c r="B29" s="112">
        <v>15963634</v>
      </c>
      <c r="C29" s="112">
        <v>12676.6</v>
      </c>
      <c r="D29" s="113">
        <v>1.3</v>
      </c>
      <c r="E29" s="114">
        <v>5</v>
      </c>
      <c r="F29" s="566"/>
    </row>
    <row r="30" spans="1:6" ht="16.5" customHeight="1" x14ac:dyDescent="0.3">
      <c r="A30" s="115" t="s">
        <v>18</v>
      </c>
      <c r="B30" s="116">
        <f>AVERAGE(B24:B29)</f>
        <v>16135643.333333334</v>
      </c>
      <c r="C30" s="117">
        <f>AVERAGE(C24:C29)</f>
        <v>12705.466666666667</v>
      </c>
      <c r="D30" s="118">
        <f>AVERAGE(D24:D29)</f>
        <v>1.25</v>
      </c>
      <c r="E30" s="119">
        <f>AVERAGE(E24:E29)</f>
        <v>5</v>
      </c>
      <c r="F30" s="566"/>
    </row>
    <row r="31" spans="1:6" ht="16.5" customHeight="1" x14ac:dyDescent="0.3">
      <c r="A31" s="120" t="s">
        <v>19</v>
      </c>
      <c r="B31" s="121">
        <f>(STDEV(B24:B29)/B30)</f>
        <v>1.2072733566179238E-2</v>
      </c>
      <c r="C31" s="122"/>
      <c r="D31" s="122"/>
      <c r="E31" s="123"/>
      <c r="F31" s="566"/>
    </row>
    <row r="32" spans="1:6" s="93" customFormat="1" ht="16.5" customHeight="1" x14ac:dyDescent="0.3">
      <c r="A32" s="125" t="s">
        <v>20</v>
      </c>
      <c r="B32" s="126">
        <f>COUNT(B24:B29)</f>
        <v>6</v>
      </c>
      <c r="C32" s="127"/>
      <c r="D32" s="128"/>
      <c r="E32" s="128"/>
      <c r="F32" s="566"/>
    </row>
    <row r="33" spans="1:5" s="93" customFormat="1" ht="15.75" customHeight="1" x14ac:dyDescent="0.25">
      <c r="A33" s="99"/>
      <c r="B33" s="99"/>
      <c r="C33" s="99"/>
      <c r="D33" s="99"/>
      <c r="E33" s="99"/>
    </row>
    <row r="34" spans="1:5" s="93" customFormat="1" ht="16.5" customHeight="1" x14ac:dyDescent="0.3">
      <c r="A34" s="100" t="s">
        <v>21</v>
      </c>
      <c r="B34" s="130" t="s">
        <v>22</v>
      </c>
      <c r="C34" s="131"/>
      <c r="D34" s="131"/>
      <c r="E34" s="131"/>
    </row>
    <row r="35" spans="1:5" ht="16.5" customHeight="1" x14ac:dyDescent="0.3">
      <c r="A35" s="100"/>
      <c r="B35" s="130" t="s">
        <v>137</v>
      </c>
      <c r="C35" s="131"/>
      <c r="D35" s="131"/>
      <c r="E35" s="131"/>
    </row>
    <row r="36" spans="1:5" ht="16.5" customHeight="1" x14ac:dyDescent="0.3">
      <c r="A36" s="100"/>
      <c r="B36" s="130" t="s">
        <v>24</v>
      </c>
      <c r="C36" s="131"/>
      <c r="D36" s="131"/>
      <c r="E36" s="131"/>
    </row>
    <row r="37" spans="1:5" ht="15.75" customHeight="1" x14ac:dyDescent="0.25">
      <c r="A37" s="99"/>
      <c r="C37" s="99"/>
      <c r="D37" s="99"/>
      <c r="E37" s="99"/>
    </row>
    <row r="38" spans="1:5" ht="16.5" customHeight="1" x14ac:dyDescent="0.3">
      <c r="A38" s="95" t="s">
        <v>1</v>
      </c>
      <c r="B38" s="96" t="s">
        <v>25</v>
      </c>
    </row>
    <row r="39" spans="1:5" ht="16.5" customHeight="1" x14ac:dyDescent="0.3">
      <c r="A39" s="100" t="s">
        <v>4</v>
      </c>
      <c r="B39" s="97"/>
      <c r="C39" s="99"/>
      <c r="D39" s="99"/>
      <c r="E39" s="99"/>
    </row>
    <row r="40" spans="1:5" ht="16.5" customHeight="1" x14ac:dyDescent="0.3">
      <c r="A40" s="100" t="s">
        <v>6</v>
      </c>
      <c r="B40" s="101"/>
      <c r="C40" s="99"/>
      <c r="D40" s="99"/>
      <c r="E40" s="99"/>
    </row>
    <row r="41" spans="1:5" ht="16.5" customHeight="1" x14ac:dyDescent="0.3">
      <c r="A41" s="97" t="s">
        <v>8</v>
      </c>
      <c r="B41" s="101"/>
      <c r="C41" s="99"/>
      <c r="D41" s="99"/>
      <c r="E41" s="99"/>
    </row>
    <row r="42" spans="1:5" ht="16.5" customHeight="1" x14ac:dyDescent="0.3">
      <c r="A42" s="97" t="s">
        <v>10</v>
      </c>
      <c r="B42" s="102"/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 x14ac:dyDescent="0.3">
      <c r="A45" s="106">
        <v>1</v>
      </c>
      <c r="B45" s="107"/>
      <c r="C45" s="107"/>
      <c r="D45" s="108"/>
      <c r="E45" s="132"/>
    </row>
    <row r="46" spans="1:5" ht="16.5" customHeight="1" x14ac:dyDescent="0.3">
      <c r="A46" s="106">
        <v>2</v>
      </c>
      <c r="B46" s="107"/>
      <c r="C46" s="107"/>
      <c r="D46" s="108"/>
      <c r="E46" s="108"/>
    </row>
    <row r="47" spans="1:5" ht="16.5" customHeight="1" x14ac:dyDescent="0.3">
      <c r="A47" s="106">
        <v>3</v>
      </c>
      <c r="B47" s="107"/>
      <c r="C47" s="107"/>
      <c r="D47" s="108"/>
      <c r="E47" s="108"/>
    </row>
    <row r="48" spans="1:5" ht="16.5" customHeight="1" x14ac:dyDescent="0.3">
      <c r="A48" s="106">
        <v>4</v>
      </c>
      <c r="B48" s="107"/>
      <c r="C48" s="107"/>
      <c r="D48" s="108"/>
      <c r="E48" s="108"/>
    </row>
    <row r="49" spans="1:7" ht="16.5" customHeight="1" x14ac:dyDescent="0.3">
      <c r="A49" s="106">
        <v>5</v>
      </c>
      <c r="B49" s="107"/>
      <c r="C49" s="107"/>
      <c r="D49" s="108"/>
      <c r="E49" s="108"/>
    </row>
    <row r="50" spans="1:7" ht="16.5" customHeight="1" x14ac:dyDescent="0.3">
      <c r="A50" s="106">
        <v>6</v>
      </c>
      <c r="B50" s="112"/>
      <c r="C50" s="112"/>
      <c r="D50" s="113"/>
      <c r="E50" s="113"/>
    </row>
    <row r="51" spans="1:7" ht="16.5" customHeight="1" x14ac:dyDescent="0.3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 x14ac:dyDescent="0.3">
      <c r="A52" s="120" t="s">
        <v>19</v>
      </c>
      <c r="B52" s="121" t="e">
        <f>(STDEV(B45:B50)/B51)</f>
        <v>#DIV/0!</v>
      </c>
      <c r="C52" s="122"/>
      <c r="D52" s="122"/>
      <c r="E52" s="133"/>
    </row>
    <row r="53" spans="1:7" s="93" customFormat="1" ht="16.5" customHeight="1" x14ac:dyDescent="0.3">
      <c r="A53" s="125" t="s">
        <v>20</v>
      </c>
      <c r="B53" s="126">
        <f>COUNT(B45:B50)</f>
        <v>0</v>
      </c>
      <c r="C53" s="127"/>
      <c r="D53" s="128"/>
      <c r="E53" s="134"/>
    </row>
    <row r="54" spans="1:7" s="93" customFormat="1" ht="15.75" customHeight="1" x14ac:dyDescent="0.25">
      <c r="A54" s="99"/>
      <c r="B54" s="99"/>
      <c r="C54" s="99"/>
      <c r="D54" s="99"/>
      <c r="E54" s="99"/>
    </row>
    <row r="55" spans="1:7" s="93" customFormat="1" ht="16.5" customHeight="1" x14ac:dyDescent="0.3">
      <c r="A55" s="100" t="s">
        <v>21</v>
      </c>
      <c r="B55" s="130" t="s">
        <v>22</v>
      </c>
      <c r="C55" s="131"/>
      <c r="D55" s="131"/>
      <c r="E55" s="131"/>
    </row>
    <row r="56" spans="1:7" ht="16.5" customHeight="1" x14ac:dyDescent="0.3">
      <c r="A56" s="100"/>
      <c r="B56" s="130" t="s">
        <v>23</v>
      </c>
      <c r="C56" s="131"/>
      <c r="D56" s="131"/>
      <c r="E56" s="131"/>
    </row>
    <row r="57" spans="1:7" ht="16.5" customHeight="1" x14ac:dyDescent="0.3">
      <c r="A57" s="100"/>
      <c r="B57" s="130" t="s">
        <v>24</v>
      </c>
      <c r="C57" s="131"/>
      <c r="D57" s="131"/>
      <c r="E57" s="131"/>
    </row>
    <row r="58" spans="1:7" ht="14.25" customHeight="1" thickBot="1" x14ac:dyDescent="0.3">
      <c r="A58" s="135"/>
      <c r="B58" s="136"/>
      <c r="D58" s="137"/>
      <c r="F58" s="138"/>
      <c r="G58" s="138"/>
    </row>
    <row r="59" spans="1:7" ht="15" customHeight="1" x14ac:dyDescent="0.3">
      <c r="B59" s="567" t="s">
        <v>26</v>
      </c>
      <c r="C59" s="139" t="s">
        <v>27</v>
      </c>
      <c r="E59" s="139" t="s">
        <v>28</v>
      </c>
      <c r="F59" s="140"/>
    </row>
    <row r="60" spans="1:7" ht="15" customHeight="1" x14ac:dyDescent="0.3">
      <c r="A60" s="141" t="s">
        <v>29</v>
      </c>
      <c r="B60" s="142"/>
      <c r="C60" s="142"/>
      <c r="E60" s="142"/>
    </row>
    <row r="61" spans="1:7" ht="15" customHeight="1" x14ac:dyDescent="0.3">
      <c r="A61" s="141" t="s">
        <v>30</v>
      </c>
      <c r="B61" s="143"/>
      <c r="C61" s="143"/>
      <c r="E61" s="144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7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3" zoomScale="55" zoomScaleNormal="40" zoomScaleSheetLayoutView="55" zoomScalePageLayoutView="43" workbookViewId="0">
      <selection activeCell="F71" sqref="F71"/>
    </sheetView>
  </sheetViews>
  <sheetFormatPr defaultColWidth="9.140625" defaultRowHeight="13.5" x14ac:dyDescent="0.2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0"/>
  </cols>
  <sheetData>
    <row r="1" spans="1:9" ht="18.75" customHeight="1" x14ac:dyDescent="0.25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25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25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25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25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25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25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25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25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25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25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25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thickBot="1" x14ac:dyDescent="0.35">
      <c r="A15" s="309"/>
    </row>
    <row r="16" spans="1:9" ht="19.5" customHeight="1" thickBot="1" x14ac:dyDescent="0.35">
      <c r="A16" s="523" t="s">
        <v>31</v>
      </c>
      <c r="B16" s="524"/>
      <c r="C16" s="524"/>
      <c r="D16" s="524"/>
      <c r="E16" s="524"/>
      <c r="F16" s="524"/>
      <c r="G16" s="524"/>
      <c r="H16" s="525"/>
    </row>
    <row r="17" spans="1:14" ht="20.25" customHeight="1" x14ac:dyDescent="0.25">
      <c r="A17" s="526" t="s">
        <v>47</v>
      </c>
      <c r="B17" s="526"/>
      <c r="C17" s="526"/>
      <c r="D17" s="526"/>
      <c r="E17" s="526"/>
      <c r="F17" s="526"/>
      <c r="G17" s="526"/>
      <c r="H17" s="526"/>
    </row>
    <row r="18" spans="1:14" ht="26.25" customHeight="1" x14ac:dyDescent="0.4">
      <c r="A18" s="311" t="s">
        <v>33</v>
      </c>
      <c r="B18" s="527" t="s">
        <v>131</v>
      </c>
      <c r="C18" s="527"/>
      <c r="D18" s="312"/>
      <c r="E18" s="313"/>
      <c r="F18" s="314"/>
      <c r="G18" s="314"/>
      <c r="H18" s="314"/>
    </row>
    <row r="19" spans="1:14" ht="26.25" customHeight="1" x14ac:dyDescent="0.4">
      <c r="A19" s="311" t="s">
        <v>34</v>
      </c>
      <c r="B19" s="315" t="s">
        <v>139</v>
      </c>
      <c r="C19" s="314">
        <v>1</v>
      </c>
      <c r="D19" s="314"/>
      <c r="E19" s="314"/>
      <c r="F19" s="314"/>
      <c r="G19" s="314"/>
      <c r="H19" s="314"/>
    </row>
    <row r="20" spans="1:14" ht="26.25" customHeight="1" x14ac:dyDescent="0.4">
      <c r="A20" s="311" t="s">
        <v>35</v>
      </c>
      <c r="B20" s="528" t="s">
        <v>143</v>
      </c>
      <c r="C20" s="528"/>
      <c r="D20" s="314"/>
      <c r="E20" s="314"/>
      <c r="F20" s="314"/>
      <c r="G20" s="314"/>
      <c r="H20" s="314"/>
    </row>
    <row r="21" spans="1:14" ht="26.25" customHeight="1" x14ac:dyDescent="0.4">
      <c r="A21" s="311" t="s">
        <v>36</v>
      </c>
      <c r="B21" s="528" t="s">
        <v>141</v>
      </c>
      <c r="C21" s="528"/>
      <c r="D21" s="528"/>
      <c r="E21" s="528"/>
      <c r="F21" s="528"/>
      <c r="G21" s="528"/>
      <c r="H21" s="528"/>
      <c r="I21" s="316"/>
    </row>
    <row r="22" spans="1:14" ht="26.25" customHeight="1" x14ac:dyDescent="0.4">
      <c r="A22" s="311" t="s">
        <v>37</v>
      </c>
      <c r="B22" s="317" t="s">
        <v>133</v>
      </c>
      <c r="C22" s="314"/>
      <c r="D22" s="314"/>
      <c r="E22" s="314"/>
      <c r="F22" s="314"/>
      <c r="G22" s="314"/>
      <c r="H22" s="314"/>
    </row>
    <row r="23" spans="1:14" ht="26.25" customHeight="1" x14ac:dyDescent="0.4">
      <c r="A23" s="311" t="s">
        <v>38</v>
      </c>
      <c r="B23" s="317"/>
      <c r="C23" s="314"/>
      <c r="D23" s="314"/>
      <c r="E23" s="314"/>
      <c r="F23" s="314"/>
      <c r="G23" s="314"/>
      <c r="H23" s="314"/>
    </row>
    <row r="24" spans="1:14" ht="18.75" x14ac:dyDescent="0.3">
      <c r="A24" s="311"/>
      <c r="B24" s="318"/>
    </row>
    <row r="25" spans="1:14" ht="18.75" x14ac:dyDescent="0.3">
      <c r="A25" s="319" t="s">
        <v>1</v>
      </c>
      <c r="B25" s="318"/>
    </row>
    <row r="26" spans="1:14" ht="26.25" customHeight="1" x14ac:dyDescent="0.4">
      <c r="A26" s="320" t="s">
        <v>4</v>
      </c>
      <c r="B26" s="527" t="s">
        <v>135</v>
      </c>
      <c r="C26" s="527"/>
    </row>
    <row r="27" spans="1:14" ht="26.25" customHeight="1" x14ac:dyDescent="0.4">
      <c r="A27" s="321" t="s">
        <v>48</v>
      </c>
      <c r="B27" s="529" t="s">
        <v>144</v>
      </c>
      <c r="C27" s="529"/>
    </row>
    <row r="28" spans="1:14" ht="27" customHeight="1" thickBot="1" x14ac:dyDescent="0.45">
      <c r="A28" s="321" t="s">
        <v>6</v>
      </c>
      <c r="B28" s="322">
        <v>100.33</v>
      </c>
    </row>
    <row r="29" spans="1:14" s="324" customFormat="1" ht="27" customHeight="1" thickBot="1" x14ac:dyDescent="0.45">
      <c r="A29" s="321" t="s">
        <v>49</v>
      </c>
      <c r="B29" s="323">
        <v>0</v>
      </c>
      <c r="C29" s="530" t="s">
        <v>50</v>
      </c>
      <c r="D29" s="531"/>
      <c r="E29" s="531"/>
      <c r="F29" s="531"/>
      <c r="G29" s="532"/>
      <c r="I29" s="325"/>
      <c r="J29" s="325"/>
      <c r="K29" s="325"/>
      <c r="L29" s="325"/>
    </row>
    <row r="30" spans="1:14" s="324" customFormat="1" ht="19.5" customHeight="1" thickBot="1" x14ac:dyDescent="0.35">
      <c r="A30" s="321" t="s">
        <v>51</v>
      </c>
      <c r="B30" s="326">
        <f>B28-B29</f>
        <v>100.33</v>
      </c>
      <c r="C30" s="327"/>
      <c r="D30" s="327"/>
      <c r="E30" s="327"/>
      <c r="F30" s="327"/>
      <c r="G30" s="328"/>
      <c r="I30" s="325"/>
      <c r="J30" s="325"/>
      <c r="K30" s="325"/>
      <c r="L30" s="325"/>
    </row>
    <row r="31" spans="1:14" s="324" customFormat="1" ht="27" customHeight="1" thickBot="1" x14ac:dyDescent="0.45">
      <c r="A31" s="321" t="s">
        <v>52</v>
      </c>
      <c r="B31" s="329">
        <v>1</v>
      </c>
      <c r="C31" s="518" t="s">
        <v>53</v>
      </c>
      <c r="D31" s="519"/>
      <c r="E31" s="519"/>
      <c r="F31" s="519"/>
      <c r="G31" s="519"/>
      <c r="H31" s="520"/>
      <c r="I31" s="325"/>
      <c r="J31" s="325"/>
      <c r="K31" s="325"/>
      <c r="L31" s="325"/>
    </row>
    <row r="32" spans="1:14" s="324" customFormat="1" ht="27" customHeight="1" thickBot="1" x14ac:dyDescent="0.45">
      <c r="A32" s="321" t="s">
        <v>54</v>
      </c>
      <c r="B32" s="329">
        <v>1</v>
      </c>
      <c r="C32" s="518" t="s">
        <v>55</v>
      </c>
      <c r="D32" s="519"/>
      <c r="E32" s="519"/>
      <c r="F32" s="519"/>
      <c r="G32" s="519"/>
      <c r="H32" s="520"/>
      <c r="I32" s="325"/>
      <c r="J32" s="325"/>
      <c r="K32" s="325"/>
      <c r="L32" s="330"/>
      <c r="M32" s="330"/>
      <c r="N32" s="331"/>
    </row>
    <row r="33" spans="1:14" s="324" customFormat="1" ht="17.25" customHeight="1" x14ac:dyDescent="0.3">
      <c r="A33" s="321"/>
      <c r="B33" s="332"/>
      <c r="C33" s="333"/>
      <c r="D33" s="333"/>
      <c r="E33" s="333"/>
      <c r="F33" s="333"/>
      <c r="G33" s="333"/>
      <c r="H33" s="333"/>
      <c r="I33" s="325"/>
      <c r="J33" s="325"/>
      <c r="K33" s="325"/>
      <c r="L33" s="330"/>
      <c r="M33" s="330"/>
      <c r="N33" s="331"/>
    </row>
    <row r="34" spans="1:14" s="324" customFormat="1" ht="18.75" x14ac:dyDescent="0.3">
      <c r="A34" s="321" t="s">
        <v>56</v>
      </c>
      <c r="B34" s="334">
        <f>B31/B32</f>
        <v>1</v>
      </c>
      <c r="C34" s="309" t="s">
        <v>57</v>
      </c>
      <c r="D34" s="309"/>
      <c r="E34" s="309"/>
      <c r="F34" s="309"/>
      <c r="G34" s="309"/>
      <c r="I34" s="325"/>
      <c r="J34" s="325"/>
      <c r="K34" s="325"/>
      <c r="L34" s="330"/>
      <c r="M34" s="330"/>
      <c r="N34" s="331"/>
    </row>
    <row r="35" spans="1:14" s="324" customFormat="1" ht="19.5" customHeight="1" thickBot="1" x14ac:dyDescent="0.35">
      <c r="A35" s="321"/>
      <c r="B35" s="326"/>
      <c r="G35" s="309"/>
      <c r="I35" s="325"/>
      <c r="J35" s="325"/>
      <c r="K35" s="325"/>
      <c r="L35" s="330"/>
      <c r="M35" s="330"/>
      <c r="N35" s="331"/>
    </row>
    <row r="36" spans="1:14" s="324" customFormat="1" ht="27" customHeight="1" thickBot="1" x14ac:dyDescent="0.45">
      <c r="A36" s="335" t="s">
        <v>58</v>
      </c>
      <c r="B36" s="336">
        <v>25</v>
      </c>
      <c r="C36" s="309"/>
      <c r="D36" s="534" t="s">
        <v>59</v>
      </c>
      <c r="E36" s="535"/>
      <c r="F36" s="534" t="s">
        <v>60</v>
      </c>
      <c r="G36" s="536"/>
      <c r="J36" s="325"/>
      <c r="K36" s="325"/>
      <c r="L36" s="330"/>
      <c r="M36" s="330"/>
      <c r="N36" s="331"/>
    </row>
    <row r="37" spans="1:14" s="324" customFormat="1" ht="27" customHeight="1" thickBot="1" x14ac:dyDescent="0.45">
      <c r="A37" s="337" t="s">
        <v>61</v>
      </c>
      <c r="B37" s="338">
        <v>5</v>
      </c>
      <c r="C37" s="339" t="s">
        <v>62</v>
      </c>
      <c r="D37" s="340" t="s">
        <v>63</v>
      </c>
      <c r="E37" s="341" t="s">
        <v>64</v>
      </c>
      <c r="F37" s="340" t="s">
        <v>63</v>
      </c>
      <c r="G37" s="342" t="s">
        <v>64</v>
      </c>
      <c r="I37" s="343" t="s">
        <v>65</v>
      </c>
      <c r="J37" s="325"/>
      <c r="K37" s="325"/>
      <c r="L37" s="330"/>
      <c r="M37" s="330"/>
      <c r="N37" s="331"/>
    </row>
    <row r="38" spans="1:14" s="324" customFormat="1" ht="26.25" customHeight="1" x14ac:dyDescent="0.4">
      <c r="A38" s="337" t="s">
        <v>66</v>
      </c>
      <c r="B38" s="338">
        <v>50</v>
      </c>
      <c r="C38" s="344">
        <v>1</v>
      </c>
      <c r="D38" s="345">
        <v>15908061</v>
      </c>
      <c r="E38" s="346">
        <f>IF(ISBLANK(D38),"-",$D$48/$D$45*D38)</f>
        <v>15879556.402280087</v>
      </c>
      <c r="F38" s="345">
        <v>15963131</v>
      </c>
      <c r="G38" s="347">
        <f>IF(ISBLANK(F38),"-",$D$48/$F$45*F38)</f>
        <v>15537720.639078539</v>
      </c>
      <c r="I38" s="348"/>
      <c r="J38" s="325"/>
      <c r="K38" s="325"/>
      <c r="L38" s="330"/>
      <c r="M38" s="330"/>
      <c r="N38" s="331"/>
    </row>
    <row r="39" spans="1:14" s="324" customFormat="1" ht="26.25" customHeight="1" x14ac:dyDescent="0.4">
      <c r="A39" s="337" t="s">
        <v>67</v>
      </c>
      <c r="B39" s="338">
        <v>1</v>
      </c>
      <c r="C39" s="349">
        <v>2</v>
      </c>
      <c r="D39" s="350">
        <v>15606117</v>
      </c>
      <c r="E39" s="351">
        <f>IF(ISBLANK(D39),"-",$D$48/$D$45*D39)</f>
        <v>15578153.435675291</v>
      </c>
      <c r="F39" s="350">
        <v>15894127</v>
      </c>
      <c r="G39" s="352">
        <f>IF(ISBLANK(F39),"-",$D$48/$F$45*F39)</f>
        <v>15470555.565072758</v>
      </c>
      <c r="I39" s="537">
        <f>ABS((F43/D43*D42)-F42)/D42</f>
        <v>1.2430066572060616E-2</v>
      </c>
      <c r="J39" s="325"/>
      <c r="K39" s="325"/>
      <c r="L39" s="330"/>
      <c r="M39" s="330"/>
      <c r="N39" s="331"/>
    </row>
    <row r="40" spans="1:14" ht="26.25" customHeight="1" x14ac:dyDescent="0.4">
      <c r="A40" s="337" t="s">
        <v>68</v>
      </c>
      <c r="B40" s="338">
        <v>1</v>
      </c>
      <c r="C40" s="349">
        <v>3</v>
      </c>
      <c r="D40" s="350">
        <v>15515092</v>
      </c>
      <c r="E40" s="351">
        <f>IF(ISBLANK(D40),"-",$D$48/$D$45*D40)</f>
        <v>15487291.537325922</v>
      </c>
      <c r="F40" s="350">
        <v>15788483</v>
      </c>
      <c r="G40" s="352">
        <f>IF(ISBLANK(F40),"-",$D$48/$F$45*F40)</f>
        <v>15367726.930815807</v>
      </c>
      <c r="I40" s="537"/>
      <c r="L40" s="330"/>
      <c r="M40" s="330"/>
      <c r="N40" s="309"/>
    </row>
    <row r="41" spans="1:14" ht="27" customHeight="1" thickBot="1" x14ac:dyDescent="0.45">
      <c r="A41" s="337" t="s">
        <v>69</v>
      </c>
      <c r="B41" s="338">
        <v>1</v>
      </c>
      <c r="C41" s="353">
        <v>4</v>
      </c>
      <c r="D41" s="354"/>
      <c r="E41" s="355" t="str">
        <f>IF(ISBLANK(D41),"-",$D$48/$D$45*D41)</f>
        <v>-</v>
      </c>
      <c r="F41" s="354"/>
      <c r="G41" s="356" t="str">
        <f>IF(ISBLANK(F41),"-",$D$48/$F$45*F41)</f>
        <v>-</v>
      </c>
      <c r="I41" s="357"/>
      <c r="L41" s="330"/>
      <c r="M41" s="330"/>
      <c r="N41" s="309"/>
    </row>
    <row r="42" spans="1:14" ht="27" customHeight="1" thickBot="1" x14ac:dyDescent="0.45">
      <c r="A42" s="337" t="s">
        <v>70</v>
      </c>
      <c r="B42" s="338">
        <v>1</v>
      </c>
      <c r="C42" s="358" t="s">
        <v>71</v>
      </c>
      <c r="D42" s="359">
        <f>AVERAGE(D38:D41)</f>
        <v>15676423.333333334</v>
      </c>
      <c r="E42" s="360">
        <f>AVERAGE(E38:E41)</f>
        <v>15648333.791760435</v>
      </c>
      <c r="F42" s="359">
        <f>AVERAGE(F38:F41)</f>
        <v>15881913.666666666</v>
      </c>
      <c r="G42" s="361">
        <f>AVERAGE(G38:G41)</f>
        <v>15458667.711655701</v>
      </c>
      <c r="H42" s="362"/>
    </row>
    <row r="43" spans="1:14" ht="26.25" customHeight="1" x14ac:dyDescent="0.4">
      <c r="A43" s="337" t="s">
        <v>72</v>
      </c>
      <c r="B43" s="338">
        <v>1</v>
      </c>
      <c r="C43" s="363" t="s">
        <v>73</v>
      </c>
      <c r="D43" s="364">
        <v>19.97</v>
      </c>
      <c r="E43" s="309"/>
      <c r="F43" s="364">
        <v>20.48</v>
      </c>
      <c r="H43" s="362"/>
    </row>
    <row r="44" spans="1:14" ht="26.25" customHeight="1" x14ac:dyDescent="0.4">
      <c r="A44" s="337" t="s">
        <v>74</v>
      </c>
      <c r="B44" s="338">
        <v>1</v>
      </c>
      <c r="C44" s="365" t="s">
        <v>75</v>
      </c>
      <c r="D44" s="366">
        <f>D43*$B$34</f>
        <v>19.97</v>
      </c>
      <c r="E44" s="367"/>
      <c r="F44" s="366">
        <f>F43*$B$34</f>
        <v>20.48</v>
      </c>
      <c r="H44" s="362"/>
    </row>
    <row r="45" spans="1:14" ht="19.5" customHeight="1" thickBot="1" x14ac:dyDescent="0.35">
      <c r="A45" s="337" t="s">
        <v>76</v>
      </c>
      <c r="B45" s="349">
        <f>(B44/B43)*(B42/B41)*(B40/B39)*(B38/B37)*B36</f>
        <v>250</v>
      </c>
      <c r="C45" s="365" t="s">
        <v>77</v>
      </c>
      <c r="D45" s="368">
        <f>D44*$B$30/100</f>
        <v>20.035900999999999</v>
      </c>
      <c r="E45" s="369"/>
      <c r="F45" s="368">
        <f>F44*$B$30/100</f>
        <v>20.547584000000001</v>
      </c>
      <c r="H45" s="362"/>
    </row>
    <row r="46" spans="1:14" ht="19.5" customHeight="1" thickBot="1" x14ac:dyDescent="0.35">
      <c r="A46" s="538" t="s">
        <v>78</v>
      </c>
      <c r="B46" s="539"/>
      <c r="C46" s="365" t="s">
        <v>79</v>
      </c>
      <c r="D46" s="370">
        <f>D45/$B$45</f>
        <v>8.0143603999999993E-2</v>
      </c>
      <c r="E46" s="371"/>
      <c r="F46" s="372">
        <f>F45/$B$45</f>
        <v>8.2190336000000003E-2</v>
      </c>
      <c r="H46" s="362"/>
    </row>
    <row r="47" spans="1:14" ht="27" customHeight="1" thickBot="1" x14ac:dyDescent="0.45">
      <c r="A47" s="540"/>
      <c r="B47" s="541"/>
      <c r="C47" s="373" t="s">
        <v>80</v>
      </c>
      <c r="D47" s="374">
        <v>0.08</v>
      </c>
      <c r="E47" s="375"/>
      <c r="F47" s="371"/>
      <c r="H47" s="362"/>
    </row>
    <row r="48" spans="1:14" ht="18.75" x14ac:dyDescent="0.3">
      <c r="C48" s="376" t="s">
        <v>81</v>
      </c>
      <c r="D48" s="368">
        <f>D47*$B$45</f>
        <v>20</v>
      </c>
      <c r="F48" s="377"/>
      <c r="H48" s="362"/>
    </row>
    <row r="49" spans="1:12" ht="19.5" customHeight="1" thickBot="1" x14ac:dyDescent="0.35">
      <c r="C49" s="378" t="s">
        <v>82</v>
      </c>
      <c r="D49" s="379">
        <f>D48/B34</f>
        <v>20</v>
      </c>
      <c r="F49" s="377"/>
      <c r="H49" s="362"/>
    </row>
    <row r="50" spans="1:12" ht="18.75" x14ac:dyDescent="0.3">
      <c r="C50" s="335" t="s">
        <v>83</v>
      </c>
      <c r="D50" s="380">
        <f>AVERAGE(E38:E41,G38:G41)</f>
        <v>15553500.751708068</v>
      </c>
      <c r="F50" s="381"/>
      <c r="H50" s="362"/>
    </row>
    <row r="51" spans="1:12" ht="18.75" x14ac:dyDescent="0.3">
      <c r="C51" s="337" t="s">
        <v>84</v>
      </c>
      <c r="D51" s="382">
        <f>STDEV(E38:E41,G38:G41)/D50</f>
        <v>1.1244853942374998E-2</v>
      </c>
      <c r="F51" s="381"/>
      <c r="H51" s="362"/>
    </row>
    <row r="52" spans="1:12" ht="19.5" customHeight="1" thickBot="1" x14ac:dyDescent="0.35">
      <c r="C52" s="383" t="s">
        <v>20</v>
      </c>
      <c r="D52" s="384">
        <f>COUNT(E38:E41,G38:G41)</f>
        <v>6</v>
      </c>
      <c r="F52" s="381"/>
    </row>
    <row r="54" spans="1:12" ht="18.75" x14ac:dyDescent="0.3">
      <c r="A54" s="385" t="s">
        <v>1</v>
      </c>
      <c r="B54" s="386" t="s">
        <v>85</v>
      </c>
    </row>
    <row r="55" spans="1:12" ht="18.75" x14ac:dyDescent="0.3">
      <c r="A55" s="309" t="s">
        <v>86</v>
      </c>
      <c r="B55" s="387" t="str">
        <f>B21</f>
        <v>Each  dispersible tablet contains: Rifampicin BP 75 mg and Isoniazid BP 50 mg.</v>
      </c>
    </row>
    <row r="56" spans="1:12" ht="26.25" customHeight="1" x14ac:dyDescent="0.4">
      <c r="A56" s="387" t="s">
        <v>87</v>
      </c>
      <c r="B56" s="388">
        <v>50</v>
      </c>
      <c r="C56" s="309" t="str">
        <f>B20</f>
        <v>, Isoniazid</v>
      </c>
      <c r="H56" s="367"/>
    </row>
    <row r="57" spans="1:12" ht="18.75" x14ac:dyDescent="0.3">
      <c r="A57" s="387" t="s">
        <v>88</v>
      </c>
      <c r="B57" s="389">
        <f>Uniformity!C46</f>
        <v>481.05450000000002</v>
      </c>
      <c r="H57" s="367"/>
    </row>
    <row r="58" spans="1:12" ht="19.5" customHeight="1" thickBot="1" x14ac:dyDescent="0.35">
      <c r="H58" s="367"/>
    </row>
    <row r="59" spans="1:12" s="324" customFormat="1" ht="27" customHeight="1" thickBot="1" x14ac:dyDescent="0.45">
      <c r="A59" s="335" t="s">
        <v>89</v>
      </c>
      <c r="B59" s="336">
        <v>50</v>
      </c>
      <c r="C59" s="309"/>
      <c r="D59" s="390" t="s">
        <v>90</v>
      </c>
      <c r="E59" s="391" t="s">
        <v>62</v>
      </c>
      <c r="F59" s="391" t="s">
        <v>63</v>
      </c>
      <c r="G59" s="391" t="s">
        <v>91</v>
      </c>
      <c r="H59" s="339" t="s">
        <v>92</v>
      </c>
      <c r="L59" s="325"/>
    </row>
    <row r="60" spans="1:12" s="324" customFormat="1" ht="26.25" customHeight="1" x14ac:dyDescent="0.4">
      <c r="A60" s="337" t="s">
        <v>93</v>
      </c>
      <c r="B60" s="338">
        <v>5</v>
      </c>
      <c r="C60" s="542" t="s">
        <v>94</v>
      </c>
      <c r="D60" s="504">
        <v>482.73</v>
      </c>
      <c r="E60" s="392">
        <v>1</v>
      </c>
      <c r="F60" s="393">
        <v>20049333</v>
      </c>
      <c r="G60" s="394">
        <f>IF(ISBLANK(F60),"-",(F60/$D$50*$D$47*$B$68)*($B$57/$D$60))</f>
        <v>51.383272236670493</v>
      </c>
      <c r="H60" s="395">
        <f t="shared" ref="H60:H71" si="0">IF(ISBLANK(F60),"-",(G60/$B$56)*100)</f>
        <v>102.76654447334099</v>
      </c>
      <c r="L60" s="325"/>
    </row>
    <row r="61" spans="1:12" s="324" customFormat="1" ht="26.25" customHeight="1" x14ac:dyDescent="0.4">
      <c r="A61" s="337" t="s">
        <v>95</v>
      </c>
      <c r="B61" s="338">
        <v>50</v>
      </c>
      <c r="C61" s="543"/>
      <c r="D61" s="505"/>
      <c r="E61" s="396">
        <v>2</v>
      </c>
      <c r="F61" s="350">
        <v>20100214</v>
      </c>
      <c r="G61" s="397">
        <f>IF(ISBLANK(F61),"-",(F61/$D$50*$D$47*$B$68)*($B$57/$D$60))</f>
        <v>51.513672199336284</v>
      </c>
      <c r="H61" s="398">
        <f t="shared" si="0"/>
        <v>103.02734439867255</v>
      </c>
      <c r="L61" s="325"/>
    </row>
    <row r="62" spans="1:12" s="324" customFormat="1" ht="26.25" customHeight="1" x14ac:dyDescent="0.4">
      <c r="A62" s="337" t="s">
        <v>96</v>
      </c>
      <c r="B62" s="338">
        <v>1</v>
      </c>
      <c r="C62" s="543"/>
      <c r="D62" s="505"/>
      <c r="E62" s="396">
        <v>3</v>
      </c>
      <c r="F62" s="399">
        <v>20389101</v>
      </c>
      <c r="G62" s="397">
        <f>IF(ISBLANK(F62),"-",(F62/$D$50*$D$47*$B$68)*($B$57/$D$60))</f>
        <v>52.254043929739233</v>
      </c>
      <c r="H62" s="398">
        <f t="shared" si="0"/>
        <v>104.50808785947847</v>
      </c>
      <c r="L62" s="325"/>
    </row>
    <row r="63" spans="1:12" ht="27" customHeight="1" thickBot="1" x14ac:dyDescent="0.45">
      <c r="A63" s="337" t="s">
        <v>97</v>
      </c>
      <c r="B63" s="338">
        <v>1</v>
      </c>
      <c r="C63" s="544"/>
      <c r="D63" s="506"/>
      <c r="E63" s="400">
        <v>4</v>
      </c>
      <c r="F63" s="401"/>
      <c r="G63" s="397" t="str">
        <f>IF(ISBLANK(F63),"-",(F63/$D$50*$D$47*$B$68)*($B$57/$D$60))</f>
        <v>-</v>
      </c>
      <c r="H63" s="398" t="str">
        <f t="shared" si="0"/>
        <v>-</v>
      </c>
    </row>
    <row r="64" spans="1:12" ht="26.25" customHeight="1" x14ac:dyDescent="0.4">
      <c r="A64" s="337" t="s">
        <v>98</v>
      </c>
      <c r="B64" s="338">
        <v>1</v>
      </c>
      <c r="C64" s="542" t="s">
        <v>99</v>
      </c>
      <c r="D64" s="504">
        <v>482.45</v>
      </c>
      <c r="E64" s="392">
        <v>1</v>
      </c>
      <c r="F64" s="393">
        <v>20331219</v>
      </c>
      <c r="G64" s="394">
        <f>IF(ISBLANK(F64),"-",(F64/$D$50*$D$47*$B$68)*($B$57/$D$64))</f>
        <v>52.135942149672502</v>
      </c>
      <c r="H64" s="395">
        <f t="shared" si="0"/>
        <v>104.271884299345</v>
      </c>
    </row>
    <row r="65" spans="1:8" ht="26.25" customHeight="1" x14ac:dyDescent="0.4">
      <c r="A65" s="337" t="s">
        <v>100</v>
      </c>
      <c r="B65" s="338">
        <v>1</v>
      </c>
      <c r="C65" s="543"/>
      <c r="D65" s="505"/>
      <c r="E65" s="396">
        <v>2</v>
      </c>
      <c r="F65" s="350">
        <v>20321214</v>
      </c>
      <c r="G65" s="397">
        <f>IF(ISBLANK(F65),"-",(F65/$D$50*$D$47*$B$68)*($B$57/$D$64))</f>
        <v>52.110286034256724</v>
      </c>
      <c r="H65" s="398">
        <f t="shared" si="0"/>
        <v>104.22057206851345</v>
      </c>
    </row>
    <row r="66" spans="1:8" ht="26.25" customHeight="1" x14ac:dyDescent="0.4">
      <c r="A66" s="337" t="s">
        <v>101</v>
      </c>
      <c r="B66" s="338">
        <v>1</v>
      </c>
      <c r="C66" s="543"/>
      <c r="D66" s="505"/>
      <c r="E66" s="396">
        <v>3</v>
      </c>
      <c r="F66" s="350">
        <v>20389804</v>
      </c>
      <c r="G66" s="397">
        <f>IF(ISBLANK(F66),"-",(F66/$D$50*$D$47*$B$68)*($B$57/$D$64))</f>
        <v>52.28617338621757</v>
      </c>
      <c r="H66" s="398">
        <f t="shared" si="0"/>
        <v>104.57234677243514</v>
      </c>
    </row>
    <row r="67" spans="1:8" ht="27" customHeight="1" thickBot="1" x14ac:dyDescent="0.45">
      <c r="A67" s="337" t="s">
        <v>102</v>
      </c>
      <c r="B67" s="338">
        <v>1</v>
      </c>
      <c r="C67" s="544"/>
      <c r="D67" s="506"/>
      <c r="E67" s="400">
        <v>4</v>
      </c>
      <c r="F67" s="401"/>
      <c r="G67" s="402" t="str">
        <f>IF(ISBLANK(F67),"-",(F67/$D$50*$D$47*$B$68)*($B$57/$D$64))</f>
        <v>-</v>
      </c>
      <c r="H67" s="403" t="str">
        <f t="shared" si="0"/>
        <v>-</v>
      </c>
    </row>
    <row r="68" spans="1:8" ht="26.25" customHeight="1" x14ac:dyDescent="0.4">
      <c r="A68" s="337" t="s">
        <v>103</v>
      </c>
      <c r="B68" s="404">
        <f>(B67/B66)*(B65/B64)*(B63/B62)*(B61/B60)*B59</f>
        <v>500</v>
      </c>
      <c r="C68" s="542" t="s">
        <v>104</v>
      </c>
      <c r="D68" s="504">
        <v>482.49</v>
      </c>
      <c r="E68" s="392">
        <v>1</v>
      </c>
      <c r="F68" s="393">
        <v>19703346</v>
      </c>
      <c r="G68" s="394">
        <f>IF(ISBLANK(F68),"-",(F68/$D$50*$D$47*$B$68)*($B$57/$D$68))</f>
        <v>50.521680210927819</v>
      </c>
      <c r="H68" s="398">
        <f t="shared" si="0"/>
        <v>101.04336042185564</v>
      </c>
    </row>
    <row r="69" spans="1:8" ht="27" customHeight="1" thickBot="1" x14ac:dyDescent="0.45">
      <c r="A69" s="383" t="s">
        <v>105</v>
      </c>
      <c r="B69" s="405">
        <f>(D47*B68)/B56*B57</f>
        <v>384.84360000000004</v>
      </c>
      <c r="C69" s="543"/>
      <c r="D69" s="505"/>
      <c r="E69" s="396">
        <v>2</v>
      </c>
      <c r="F69" s="350">
        <v>19821923</v>
      </c>
      <c r="G69" s="397">
        <f>IF(ISBLANK(F69),"-",(F69/$D$50*$D$47*$B$68)*($B$57/$D$68))</f>
        <v>50.82572548701296</v>
      </c>
      <c r="H69" s="398">
        <f t="shared" si="0"/>
        <v>101.65145097402592</v>
      </c>
    </row>
    <row r="70" spans="1:8" ht="26.25" customHeight="1" x14ac:dyDescent="0.4">
      <c r="A70" s="546" t="s">
        <v>78</v>
      </c>
      <c r="B70" s="547"/>
      <c r="C70" s="543"/>
      <c r="D70" s="505"/>
      <c r="E70" s="396">
        <v>3</v>
      </c>
      <c r="F70" s="350">
        <v>19925127</v>
      </c>
      <c r="G70" s="397">
        <f>IF(ISBLANK(F70),"-",(F70/$D$50*$D$47*$B$68)*($B$57/$D$68))</f>
        <v>51.09035259575321</v>
      </c>
      <c r="H70" s="398">
        <f t="shared" si="0"/>
        <v>102.18070519150642</v>
      </c>
    </row>
    <row r="71" spans="1:8" ht="27" customHeight="1" thickBot="1" x14ac:dyDescent="0.45">
      <c r="A71" s="548"/>
      <c r="B71" s="549"/>
      <c r="C71" s="545"/>
      <c r="D71" s="506"/>
      <c r="E71" s="400">
        <v>4</v>
      </c>
      <c r="F71" s="401"/>
      <c r="G71" s="402" t="str">
        <f>IF(ISBLANK(F71),"-",(F71/$D$50*$D$47*$B$68)*($B$57/$D$68))</f>
        <v>-</v>
      </c>
      <c r="H71" s="403" t="str">
        <f t="shared" si="0"/>
        <v>-</v>
      </c>
    </row>
    <row r="72" spans="1:8" ht="26.25" customHeight="1" x14ac:dyDescent="0.4">
      <c r="A72" s="367"/>
      <c r="B72" s="367"/>
      <c r="C72" s="367"/>
      <c r="D72" s="367"/>
      <c r="E72" s="367"/>
      <c r="F72" s="406" t="s">
        <v>71</v>
      </c>
      <c r="G72" s="407">
        <f>AVERAGE(G60:G71)</f>
        <v>51.569016469954086</v>
      </c>
      <c r="H72" s="408">
        <f>AVERAGE(H60:H71)</f>
        <v>103.13803293990817</v>
      </c>
    </row>
    <row r="73" spans="1:8" ht="26.25" customHeight="1" x14ac:dyDescent="0.4">
      <c r="C73" s="367"/>
      <c r="D73" s="367"/>
      <c r="E73" s="367"/>
      <c r="F73" s="409" t="s">
        <v>84</v>
      </c>
      <c r="G73" s="410">
        <f>STDEV(G60:G71)/G72</f>
        <v>1.2851949364819532E-2</v>
      </c>
      <c r="H73" s="410">
        <f>STDEV(H60:H71)/H72</f>
        <v>1.2851949364819534E-2</v>
      </c>
    </row>
    <row r="74" spans="1:8" ht="27" customHeight="1" thickBot="1" x14ac:dyDescent="0.45">
      <c r="A74" s="367"/>
      <c r="B74" s="367"/>
      <c r="C74" s="367"/>
      <c r="D74" s="367"/>
      <c r="E74" s="369"/>
      <c r="F74" s="411" t="s">
        <v>20</v>
      </c>
      <c r="G74" s="412">
        <f>COUNT(G60:G71)</f>
        <v>9</v>
      </c>
      <c r="H74" s="412">
        <f>COUNT(H60:H71)</f>
        <v>9</v>
      </c>
    </row>
    <row r="76" spans="1:8" ht="26.25" customHeight="1" x14ac:dyDescent="0.4">
      <c r="A76" s="320" t="s">
        <v>106</v>
      </c>
      <c r="B76" s="321" t="s">
        <v>107</v>
      </c>
      <c r="C76" s="533" t="str">
        <f>B26</f>
        <v>ISONIAZID</v>
      </c>
      <c r="D76" s="533"/>
      <c r="E76" s="309" t="s">
        <v>108</v>
      </c>
      <c r="F76" s="309"/>
      <c r="G76" s="413">
        <f>H72</f>
        <v>103.13803293990817</v>
      </c>
      <c r="H76" s="326"/>
    </row>
    <row r="77" spans="1:8" ht="18.75" x14ac:dyDescent="0.3">
      <c r="A77" s="319" t="s">
        <v>109</v>
      </c>
      <c r="B77" s="319" t="s">
        <v>110</v>
      </c>
    </row>
    <row r="78" spans="1:8" ht="18.75" x14ac:dyDescent="0.3">
      <c r="A78" s="319"/>
      <c r="B78" s="319"/>
    </row>
    <row r="79" spans="1:8" ht="26.25" customHeight="1" x14ac:dyDescent="0.4">
      <c r="A79" s="320" t="s">
        <v>4</v>
      </c>
      <c r="B79" s="551"/>
      <c r="C79" s="551"/>
    </row>
    <row r="80" spans="1:8" ht="26.25" customHeight="1" x14ac:dyDescent="0.4">
      <c r="A80" s="321" t="s">
        <v>48</v>
      </c>
      <c r="B80" s="551"/>
      <c r="C80" s="551"/>
    </row>
    <row r="81" spans="1:12" ht="27" customHeight="1" thickBot="1" x14ac:dyDescent="0.45">
      <c r="A81" s="321" t="s">
        <v>6</v>
      </c>
      <c r="B81" s="322"/>
    </row>
    <row r="82" spans="1:12" s="324" customFormat="1" ht="27" customHeight="1" thickBot="1" x14ac:dyDescent="0.45">
      <c r="A82" s="321" t="s">
        <v>49</v>
      </c>
      <c r="B82" s="323">
        <v>0</v>
      </c>
      <c r="C82" s="530" t="s">
        <v>50</v>
      </c>
      <c r="D82" s="531"/>
      <c r="E82" s="531"/>
      <c r="F82" s="531"/>
      <c r="G82" s="532"/>
      <c r="I82" s="325"/>
      <c r="J82" s="325"/>
      <c r="K82" s="325"/>
      <c r="L82" s="325"/>
    </row>
    <row r="83" spans="1:12" s="324" customFormat="1" ht="19.5" customHeight="1" thickBot="1" x14ac:dyDescent="0.35">
      <c r="A83" s="321" t="s">
        <v>51</v>
      </c>
      <c r="B83" s="326">
        <f>B81-B82</f>
        <v>0</v>
      </c>
      <c r="C83" s="327"/>
      <c r="D83" s="327"/>
      <c r="E83" s="327"/>
      <c r="F83" s="327"/>
      <c r="G83" s="328"/>
      <c r="I83" s="325"/>
      <c r="J83" s="325"/>
      <c r="K83" s="325"/>
      <c r="L83" s="325"/>
    </row>
    <row r="84" spans="1:12" s="324" customFormat="1" ht="27" customHeight="1" thickBot="1" x14ac:dyDescent="0.45">
      <c r="A84" s="321" t="s">
        <v>52</v>
      </c>
      <c r="B84" s="329"/>
      <c r="C84" s="518" t="s">
        <v>111</v>
      </c>
      <c r="D84" s="519"/>
      <c r="E84" s="519"/>
      <c r="F84" s="519"/>
      <c r="G84" s="519"/>
      <c r="H84" s="520"/>
      <c r="I84" s="325"/>
      <c r="J84" s="325"/>
      <c r="K84" s="325"/>
      <c r="L84" s="325"/>
    </row>
    <row r="85" spans="1:12" s="324" customFormat="1" ht="27" customHeight="1" thickBot="1" x14ac:dyDescent="0.45">
      <c r="A85" s="321" t="s">
        <v>54</v>
      </c>
      <c r="B85" s="329"/>
      <c r="C85" s="518" t="s">
        <v>112</v>
      </c>
      <c r="D85" s="519"/>
      <c r="E85" s="519"/>
      <c r="F85" s="519"/>
      <c r="G85" s="519"/>
      <c r="H85" s="520"/>
      <c r="I85" s="325"/>
      <c r="J85" s="325"/>
      <c r="K85" s="325"/>
      <c r="L85" s="325"/>
    </row>
    <row r="86" spans="1:12" s="324" customFormat="1" ht="18.75" x14ac:dyDescent="0.3">
      <c r="A86" s="321"/>
      <c r="B86" s="332"/>
      <c r="C86" s="333"/>
      <c r="D86" s="333"/>
      <c r="E86" s="333"/>
      <c r="F86" s="333"/>
      <c r="G86" s="333"/>
      <c r="H86" s="333"/>
      <c r="I86" s="325"/>
      <c r="J86" s="325"/>
      <c r="K86" s="325"/>
      <c r="L86" s="325"/>
    </row>
    <row r="87" spans="1:12" s="324" customFormat="1" ht="18.75" x14ac:dyDescent="0.3">
      <c r="A87" s="321" t="s">
        <v>56</v>
      </c>
      <c r="B87" s="334" t="e">
        <f>B84/B85</f>
        <v>#DIV/0!</v>
      </c>
      <c r="C87" s="309" t="s">
        <v>57</v>
      </c>
      <c r="D87" s="309"/>
      <c r="E87" s="309"/>
      <c r="F87" s="309"/>
      <c r="G87" s="309"/>
      <c r="I87" s="325"/>
      <c r="J87" s="325"/>
      <c r="K87" s="325"/>
      <c r="L87" s="325"/>
    </row>
    <row r="88" spans="1:12" ht="19.5" customHeight="1" thickBot="1" x14ac:dyDescent="0.35">
      <c r="A88" s="319"/>
      <c r="B88" s="319"/>
    </row>
    <row r="89" spans="1:12" ht="27" customHeight="1" thickBot="1" x14ac:dyDescent="0.45">
      <c r="A89" s="335" t="s">
        <v>58</v>
      </c>
      <c r="B89" s="336"/>
      <c r="D89" s="414" t="s">
        <v>59</v>
      </c>
      <c r="E89" s="415"/>
      <c r="F89" s="534" t="s">
        <v>60</v>
      </c>
      <c r="G89" s="536"/>
    </row>
    <row r="90" spans="1:12" ht="27" customHeight="1" thickBot="1" x14ac:dyDescent="0.45">
      <c r="A90" s="337" t="s">
        <v>61</v>
      </c>
      <c r="B90" s="338"/>
      <c r="C90" s="416" t="s">
        <v>62</v>
      </c>
      <c r="D90" s="340" t="s">
        <v>63</v>
      </c>
      <c r="E90" s="341" t="s">
        <v>64</v>
      </c>
      <c r="F90" s="340" t="s">
        <v>63</v>
      </c>
      <c r="G90" s="417" t="s">
        <v>64</v>
      </c>
      <c r="I90" s="343" t="s">
        <v>65</v>
      </c>
    </row>
    <row r="91" spans="1:12" ht="26.25" customHeight="1" x14ac:dyDescent="0.4">
      <c r="A91" s="337" t="s">
        <v>66</v>
      </c>
      <c r="B91" s="338"/>
      <c r="C91" s="418">
        <v>1</v>
      </c>
      <c r="D91" s="345"/>
      <c r="E91" s="346" t="str">
        <f>IF(ISBLANK(D91),"-",$D$101/$D$98*D91)</f>
        <v>-</v>
      </c>
      <c r="F91" s="345"/>
      <c r="G91" s="347" t="str">
        <f>IF(ISBLANK(F91),"-",$D$101/$F$98*F91)</f>
        <v>-</v>
      </c>
      <c r="I91" s="348"/>
    </row>
    <row r="92" spans="1:12" ht="26.25" customHeight="1" x14ac:dyDescent="0.4">
      <c r="A92" s="337" t="s">
        <v>67</v>
      </c>
      <c r="B92" s="338">
        <v>1</v>
      </c>
      <c r="C92" s="367">
        <v>2</v>
      </c>
      <c r="D92" s="350"/>
      <c r="E92" s="351" t="str">
        <f>IF(ISBLANK(D92),"-",$D$101/$D$98*D92)</f>
        <v>-</v>
      </c>
      <c r="F92" s="350"/>
      <c r="G92" s="352" t="str">
        <f>IF(ISBLANK(F92),"-",$D$101/$F$98*F92)</f>
        <v>-</v>
      </c>
      <c r="I92" s="537" t="e">
        <f>ABS((F96/D96*D95)-F95)/D95</f>
        <v>#DIV/0!</v>
      </c>
    </row>
    <row r="93" spans="1:12" ht="26.25" customHeight="1" x14ac:dyDescent="0.4">
      <c r="A93" s="337" t="s">
        <v>68</v>
      </c>
      <c r="B93" s="338">
        <v>1</v>
      </c>
      <c r="C93" s="367">
        <v>3</v>
      </c>
      <c r="D93" s="350"/>
      <c r="E93" s="351" t="str">
        <f>IF(ISBLANK(D93),"-",$D$101/$D$98*D93)</f>
        <v>-</v>
      </c>
      <c r="F93" s="350"/>
      <c r="G93" s="352" t="str">
        <f>IF(ISBLANK(F93),"-",$D$101/$F$98*F93)</f>
        <v>-</v>
      </c>
      <c r="I93" s="537"/>
    </row>
    <row r="94" spans="1:12" ht="27" customHeight="1" thickBot="1" x14ac:dyDescent="0.45">
      <c r="A94" s="337" t="s">
        <v>69</v>
      </c>
      <c r="B94" s="338">
        <v>1</v>
      </c>
      <c r="C94" s="419">
        <v>4</v>
      </c>
      <c r="D94" s="354"/>
      <c r="E94" s="355" t="str">
        <f>IF(ISBLANK(D94),"-",$D$101/$D$98*D94)</f>
        <v>-</v>
      </c>
      <c r="F94" s="420"/>
      <c r="G94" s="356" t="str">
        <f>IF(ISBLANK(F94),"-",$D$101/$F$98*F94)</f>
        <v>-</v>
      </c>
      <c r="I94" s="357"/>
    </row>
    <row r="95" spans="1:12" ht="27" customHeight="1" thickBot="1" x14ac:dyDescent="0.45">
      <c r="A95" s="337" t="s">
        <v>70</v>
      </c>
      <c r="B95" s="338">
        <v>1</v>
      </c>
      <c r="C95" s="321" t="s">
        <v>71</v>
      </c>
      <c r="D95" s="421" t="e">
        <f>AVERAGE(D91:D94)</f>
        <v>#DIV/0!</v>
      </c>
      <c r="E95" s="360" t="e">
        <f>AVERAGE(E91:E94)</f>
        <v>#DIV/0!</v>
      </c>
      <c r="F95" s="422" t="e">
        <f>AVERAGE(F91:F94)</f>
        <v>#DIV/0!</v>
      </c>
      <c r="G95" s="423" t="e">
        <f>AVERAGE(G91:G94)</f>
        <v>#DIV/0!</v>
      </c>
    </row>
    <row r="96" spans="1:12" ht="26.25" customHeight="1" x14ac:dyDescent="0.4">
      <c r="A96" s="337" t="s">
        <v>72</v>
      </c>
      <c r="B96" s="322">
        <v>1</v>
      </c>
      <c r="C96" s="424" t="s">
        <v>113</v>
      </c>
      <c r="D96" s="425"/>
      <c r="E96" s="309"/>
      <c r="F96" s="364"/>
    </row>
    <row r="97" spans="1:10" ht="26.25" customHeight="1" x14ac:dyDescent="0.4">
      <c r="A97" s="337" t="s">
        <v>74</v>
      </c>
      <c r="B97" s="322">
        <v>1</v>
      </c>
      <c r="C97" s="426" t="s">
        <v>114</v>
      </c>
      <c r="D97" s="427" t="e">
        <f>D96*$B$87</f>
        <v>#DIV/0!</v>
      </c>
      <c r="E97" s="367"/>
      <c r="F97" s="366" t="e">
        <f>F96*$B$87</f>
        <v>#DIV/0!</v>
      </c>
    </row>
    <row r="98" spans="1:10" ht="19.5" customHeight="1" thickBot="1" x14ac:dyDescent="0.35">
      <c r="A98" s="337" t="s">
        <v>76</v>
      </c>
      <c r="B98" s="367" t="e">
        <f>(B97/B96)*(B95/B94)*(B93/B92)*(B91/B90)*B89</f>
        <v>#DIV/0!</v>
      </c>
      <c r="C98" s="426" t="s">
        <v>115</v>
      </c>
      <c r="D98" s="428" t="e">
        <f>D97*$B$83/100</f>
        <v>#DIV/0!</v>
      </c>
      <c r="E98" s="369"/>
      <c r="F98" s="368" t="e">
        <f>F97*$B$83/100</f>
        <v>#DIV/0!</v>
      </c>
    </row>
    <row r="99" spans="1:10" ht="19.5" customHeight="1" thickBot="1" x14ac:dyDescent="0.35">
      <c r="A99" s="538" t="s">
        <v>78</v>
      </c>
      <c r="B99" s="552"/>
      <c r="C99" s="426" t="s">
        <v>116</v>
      </c>
      <c r="D99" s="429" t="e">
        <f>D98/$B$98</f>
        <v>#DIV/0!</v>
      </c>
      <c r="E99" s="369"/>
      <c r="F99" s="372" t="e">
        <f>F98/$B$98</f>
        <v>#DIV/0!</v>
      </c>
      <c r="H99" s="362"/>
    </row>
    <row r="100" spans="1:10" ht="19.5" customHeight="1" thickBot="1" x14ac:dyDescent="0.35">
      <c r="A100" s="540"/>
      <c r="B100" s="553"/>
      <c r="C100" s="426" t="s">
        <v>80</v>
      </c>
      <c r="D100" s="430" t="e">
        <f>$B$56/$B$116</f>
        <v>#DIV/0!</v>
      </c>
      <c r="F100" s="377"/>
      <c r="G100" s="431"/>
      <c r="H100" s="362"/>
    </row>
    <row r="101" spans="1:10" ht="18.75" x14ac:dyDescent="0.3">
      <c r="C101" s="426" t="s">
        <v>81</v>
      </c>
      <c r="D101" s="427" t="e">
        <f>D100*$B$98</f>
        <v>#DIV/0!</v>
      </c>
      <c r="F101" s="377"/>
      <c r="H101" s="362"/>
    </row>
    <row r="102" spans="1:10" ht="19.5" customHeight="1" thickBot="1" x14ac:dyDescent="0.35">
      <c r="C102" s="432" t="s">
        <v>82</v>
      </c>
      <c r="D102" s="433" t="e">
        <f>D101/B34</f>
        <v>#DIV/0!</v>
      </c>
      <c r="F102" s="381"/>
      <c r="H102" s="362"/>
      <c r="J102" s="434"/>
    </row>
    <row r="103" spans="1:10" ht="18.75" x14ac:dyDescent="0.3">
      <c r="C103" s="435" t="s">
        <v>117</v>
      </c>
      <c r="D103" s="436" t="e">
        <f>AVERAGE(E91:E94,G91:G94)</f>
        <v>#DIV/0!</v>
      </c>
      <c r="F103" s="381"/>
      <c r="G103" s="431"/>
      <c r="H103" s="362"/>
      <c r="J103" s="437"/>
    </row>
    <row r="104" spans="1:10" ht="18.75" x14ac:dyDescent="0.3">
      <c r="C104" s="409" t="s">
        <v>84</v>
      </c>
      <c r="D104" s="438" t="e">
        <f>STDEV(E91:E94,G91:G94)/D103</f>
        <v>#DIV/0!</v>
      </c>
      <c r="F104" s="381"/>
      <c r="H104" s="362"/>
      <c r="J104" s="437"/>
    </row>
    <row r="105" spans="1:10" ht="19.5" customHeight="1" thickBot="1" x14ac:dyDescent="0.35">
      <c r="C105" s="411" t="s">
        <v>20</v>
      </c>
      <c r="D105" s="439">
        <f>COUNT(E91:E94,G91:G94)</f>
        <v>0</v>
      </c>
      <c r="F105" s="381"/>
      <c r="H105" s="362"/>
      <c r="J105" s="437"/>
    </row>
    <row r="106" spans="1:10" ht="19.5" customHeight="1" thickBot="1" x14ac:dyDescent="0.35">
      <c r="A106" s="385"/>
      <c r="B106" s="385"/>
      <c r="C106" s="385"/>
      <c r="D106" s="385"/>
      <c r="E106" s="385"/>
    </row>
    <row r="107" spans="1:10" ht="27" customHeight="1" thickBot="1" x14ac:dyDescent="0.45">
      <c r="A107" s="335" t="s">
        <v>118</v>
      </c>
      <c r="B107" s="336"/>
      <c r="C107" s="391" t="s">
        <v>119</v>
      </c>
      <c r="D107" s="391" t="s">
        <v>63</v>
      </c>
      <c r="E107" s="391" t="s">
        <v>120</v>
      </c>
      <c r="F107" s="440" t="s">
        <v>121</v>
      </c>
    </row>
    <row r="108" spans="1:10" ht="26.25" customHeight="1" x14ac:dyDescent="0.4">
      <c r="A108" s="337" t="s">
        <v>122</v>
      </c>
      <c r="B108" s="338"/>
      <c r="C108" s="392">
        <v>1</v>
      </c>
      <c r="D108" s="441"/>
      <c r="E108" s="442" t="str">
        <f t="shared" ref="E108:E113" si="1">IF(ISBLANK(D108),"-",D108/$D$103*$D$100*$B$116)</f>
        <v>-</v>
      </c>
      <c r="F108" s="443" t="str">
        <f t="shared" ref="F108:F113" si="2">IF(ISBLANK(D108), "-", (E108/$B$56)*100)</f>
        <v>-</v>
      </c>
    </row>
    <row r="109" spans="1:10" ht="26.25" customHeight="1" x14ac:dyDescent="0.4">
      <c r="A109" s="337" t="s">
        <v>95</v>
      </c>
      <c r="B109" s="338"/>
      <c r="C109" s="396">
        <v>2</v>
      </c>
      <c r="D109" s="444"/>
      <c r="E109" s="445" t="str">
        <f t="shared" si="1"/>
        <v>-</v>
      </c>
      <c r="F109" s="446" t="str">
        <f t="shared" si="2"/>
        <v>-</v>
      </c>
    </row>
    <row r="110" spans="1:10" ht="26.25" customHeight="1" x14ac:dyDescent="0.4">
      <c r="A110" s="337" t="s">
        <v>96</v>
      </c>
      <c r="B110" s="338">
        <v>1</v>
      </c>
      <c r="C110" s="396">
        <v>3</v>
      </c>
      <c r="D110" s="444"/>
      <c r="E110" s="445" t="str">
        <f t="shared" si="1"/>
        <v>-</v>
      </c>
      <c r="F110" s="446" t="str">
        <f t="shared" si="2"/>
        <v>-</v>
      </c>
    </row>
    <row r="111" spans="1:10" ht="26.25" customHeight="1" x14ac:dyDescent="0.4">
      <c r="A111" s="337" t="s">
        <v>97</v>
      </c>
      <c r="B111" s="338">
        <v>1</v>
      </c>
      <c r="C111" s="396">
        <v>4</v>
      </c>
      <c r="D111" s="444"/>
      <c r="E111" s="445" t="str">
        <f t="shared" si="1"/>
        <v>-</v>
      </c>
      <c r="F111" s="446" t="str">
        <f t="shared" si="2"/>
        <v>-</v>
      </c>
    </row>
    <row r="112" spans="1:10" ht="26.25" customHeight="1" x14ac:dyDescent="0.4">
      <c r="A112" s="337" t="s">
        <v>98</v>
      </c>
      <c r="B112" s="338">
        <v>1</v>
      </c>
      <c r="C112" s="396">
        <v>5</v>
      </c>
      <c r="D112" s="444"/>
      <c r="E112" s="445" t="str">
        <f t="shared" si="1"/>
        <v>-</v>
      </c>
      <c r="F112" s="446" t="str">
        <f t="shared" si="2"/>
        <v>-</v>
      </c>
    </row>
    <row r="113" spans="1:10" ht="27" customHeight="1" thickBot="1" x14ac:dyDescent="0.45">
      <c r="A113" s="337" t="s">
        <v>100</v>
      </c>
      <c r="B113" s="338">
        <v>1</v>
      </c>
      <c r="C113" s="400">
        <v>6</v>
      </c>
      <c r="D113" s="447"/>
      <c r="E113" s="448" t="str">
        <f t="shared" si="1"/>
        <v>-</v>
      </c>
      <c r="F113" s="449" t="str">
        <f t="shared" si="2"/>
        <v>-</v>
      </c>
    </row>
    <row r="114" spans="1:10" ht="27" customHeight="1" thickBot="1" x14ac:dyDescent="0.45">
      <c r="A114" s="337" t="s">
        <v>101</v>
      </c>
      <c r="B114" s="338">
        <v>1</v>
      </c>
      <c r="C114" s="450"/>
      <c r="D114" s="367"/>
      <c r="E114" s="309"/>
      <c r="F114" s="446"/>
    </row>
    <row r="115" spans="1:10" ht="26.25" customHeight="1" x14ac:dyDescent="0.4">
      <c r="A115" s="337" t="s">
        <v>102</v>
      </c>
      <c r="B115" s="338">
        <v>1</v>
      </c>
      <c r="C115" s="450"/>
      <c r="D115" s="451" t="s">
        <v>71</v>
      </c>
      <c r="E115" s="452" t="e">
        <f>AVERAGE(E108:E113)</f>
        <v>#DIV/0!</v>
      </c>
      <c r="F115" s="453" t="e">
        <f>AVERAGE(F108:F113)</f>
        <v>#DIV/0!</v>
      </c>
    </row>
    <row r="116" spans="1:10" ht="27" customHeight="1" thickBot="1" x14ac:dyDescent="0.45">
      <c r="A116" s="337" t="s">
        <v>103</v>
      </c>
      <c r="B116" s="349" t="e">
        <f>(B115/B114)*(B113/B112)*(B111/B110)*(B109/B108)*B107</f>
        <v>#DIV/0!</v>
      </c>
      <c r="C116" s="454"/>
      <c r="D116" s="455" t="s">
        <v>84</v>
      </c>
      <c r="E116" s="410" t="e">
        <f>STDEV(E108:E113)/E115</f>
        <v>#DIV/0!</v>
      </c>
      <c r="F116" s="456" t="e">
        <f>STDEV(F108:F113)/F115</f>
        <v>#DIV/0!</v>
      </c>
      <c r="I116" s="309"/>
    </row>
    <row r="117" spans="1:10" ht="27" customHeight="1" thickBot="1" x14ac:dyDescent="0.45">
      <c r="A117" s="538" t="s">
        <v>78</v>
      </c>
      <c r="B117" s="539"/>
      <c r="C117" s="457"/>
      <c r="D117" s="411" t="s">
        <v>20</v>
      </c>
      <c r="E117" s="458">
        <f>COUNT(E108:E113)</f>
        <v>0</v>
      </c>
      <c r="F117" s="459">
        <f>COUNT(F108:F113)</f>
        <v>0</v>
      </c>
      <c r="I117" s="309"/>
      <c r="J117" s="437"/>
    </row>
    <row r="118" spans="1:10" ht="26.25" customHeight="1" thickBot="1" x14ac:dyDescent="0.35">
      <c r="A118" s="540"/>
      <c r="B118" s="541"/>
      <c r="C118" s="309"/>
      <c r="D118" s="460"/>
      <c r="E118" s="554" t="s">
        <v>123</v>
      </c>
      <c r="F118" s="555"/>
      <c r="G118" s="309"/>
      <c r="H118" s="309"/>
      <c r="I118" s="309"/>
    </row>
    <row r="119" spans="1:10" ht="25.5" customHeight="1" x14ac:dyDescent="0.4">
      <c r="A119" s="461"/>
      <c r="B119" s="333"/>
      <c r="C119" s="309"/>
      <c r="D119" s="455" t="s">
        <v>124</v>
      </c>
      <c r="E119" s="462">
        <f>MIN(E108:E113)</f>
        <v>0</v>
      </c>
      <c r="F119" s="463">
        <f>MIN(F108:F113)</f>
        <v>0</v>
      </c>
      <c r="G119" s="309"/>
      <c r="H119" s="309"/>
      <c r="I119" s="309"/>
    </row>
    <row r="120" spans="1:10" ht="24" customHeight="1" thickBot="1" x14ac:dyDescent="0.45">
      <c r="A120" s="461"/>
      <c r="B120" s="333"/>
      <c r="C120" s="309"/>
      <c r="D120" s="378" t="s">
        <v>125</v>
      </c>
      <c r="E120" s="464">
        <f>MAX(E108:E113)</f>
        <v>0</v>
      </c>
      <c r="F120" s="465">
        <f>MAX(F108:F113)</f>
        <v>0</v>
      </c>
      <c r="G120" s="309"/>
      <c r="H120" s="309"/>
      <c r="I120" s="309"/>
    </row>
    <row r="121" spans="1:10" ht="27" customHeight="1" x14ac:dyDescent="0.3">
      <c r="A121" s="461"/>
      <c r="B121" s="333"/>
      <c r="C121" s="309"/>
      <c r="D121" s="309"/>
      <c r="E121" s="309"/>
      <c r="F121" s="367"/>
      <c r="G121" s="309"/>
      <c r="H121" s="309"/>
      <c r="I121" s="309"/>
    </row>
    <row r="122" spans="1:10" ht="25.5" customHeight="1" x14ac:dyDescent="0.3">
      <c r="A122" s="461"/>
      <c r="B122" s="333"/>
      <c r="C122" s="309"/>
      <c r="D122" s="309"/>
      <c r="E122" s="309"/>
      <c r="F122" s="367"/>
      <c r="G122" s="309"/>
      <c r="H122" s="309"/>
      <c r="I122" s="309"/>
    </row>
    <row r="123" spans="1:10" ht="18.75" x14ac:dyDescent="0.3">
      <c r="A123" s="461"/>
      <c r="B123" s="333"/>
      <c r="C123" s="309"/>
      <c r="D123" s="309"/>
      <c r="E123" s="309"/>
      <c r="F123" s="367"/>
      <c r="G123" s="309"/>
      <c r="H123" s="309"/>
      <c r="I123" s="309"/>
    </row>
    <row r="124" spans="1:10" ht="45.75" customHeight="1" x14ac:dyDescent="0.65">
      <c r="A124" s="320" t="s">
        <v>106</v>
      </c>
      <c r="B124" s="321" t="s">
        <v>126</v>
      </c>
      <c r="C124" s="533" t="str">
        <f>B26</f>
        <v>ISONIAZID</v>
      </c>
      <c r="D124" s="533"/>
      <c r="E124" s="309" t="s">
        <v>127</v>
      </c>
      <c r="F124" s="309"/>
      <c r="G124" s="466" t="e">
        <f>F115</f>
        <v>#DIV/0!</v>
      </c>
      <c r="H124" s="309"/>
      <c r="I124" s="309"/>
    </row>
    <row r="125" spans="1:10" ht="45.75" customHeight="1" x14ac:dyDescent="0.65">
      <c r="A125" s="320"/>
      <c r="B125" s="321" t="s">
        <v>128</v>
      </c>
      <c r="C125" s="321" t="s">
        <v>129</v>
      </c>
      <c r="D125" s="466">
        <f>MIN(F108:F113)</f>
        <v>0</v>
      </c>
      <c r="E125" s="321" t="s">
        <v>130</v>
      </c>
      <c r="F125" s="466">
        <f>MAX(F108:F113)</f>
        <v>0</v>
      </c>
      <c r="G125" s="467"/>
      <c r="H125" s="309"/>
      <c r="I125" s="309"/>
    </row>
    <row r="126" spans="1:10" ht="19.5" customHeight="1" thickBot="1" x14ac:dyDescent="0.35">
      <c r="A126" s="468"/>
      <c r="B126" s="468"/>
      <c r="C126" s="469"/>
      <c r="D126" s="469"/>
      <c r="E126" s="469"/>
      <c r="F126" s="469"/>
      <c r="G126" s="469"/>
      <c r="H126" s="469"/>
    </row>
    <row r="127" spans="1:10" ht="18.75" x14ac:dyDescent="0.3">
      <c r="B127" s="550" t="s">
        <v>26</v>
      </c>
      <c r="C127" s="550"/>
      <c r="E127" s="416" t="s">
        <v>27</v>
      </c>
      <c r="F127" s="470"/>
      <c r="G127" s="550" t="s">
        <v>28</v>
      </c>
      <c r="H127" s="550"/>
    </row>
    <row r="128" spans="1:10" ht="69.95" customHeight="1" x14ac:dyDescent="0.3">
      <c r="A128" s="320" t="s">
        <v>29</v>
      </c>
      <c r="B128" s="471"/>
      <c r="C128" s="471"/>
      <c r="E128" s="471"/>
      <c r="F128" s="309"/>
      <c r="G128" s="471"/>
      <c r="H128" s="471"/>
    </row>
    <row r="129" spans="1:9" ht="69.95" customHeight="1" x14ac:dyDescent="0.3">
      <c r="A129" s="320" t="s">
        <v>30</v>
      </c>
      <c r="B129" s="472"/>
      <c r="C129" s="472"/>
      <c r="E129" s="472"/>
      <c r="F129" s="309"/>
      <c r="G129" s="473"/>
      <c r="H129" s="473"/>
    </row>
    <row r="130" spans="1:9" ht="18.75" x14ac:dyDescent="0.3">
      <c r="A130" s="367"/>
      <c r="B130" s="367"/>
      <c r="C130" s="367"/>
      <c r="D130" s="367"/>
      <c r="E130" s="367"/>
      <c r="F130" s="369"/>
      <c r="G130" s="367"/>
      <c r="H130" s="367"/>
      <c r="I130" s="309"/>
    </row>
    <row r="131" spans="1:9" ht="18.75" x14ac:dyDescent="0.3">
      <c r="A131" s="367"/>
      <c r="B131" s="367"/>
      <c r="C131" s="367"/>
      <c r="D131" s="367"/>
      <c r="E131" s="367"/>
      <c r="F131" s="369"/>
      <c r="G131" s="367"/>
      <c r="H131" s="367"/>
      <c r="I131" s="309"/>
    </row>
    <row r="132" spans="1:9" ht="18.75" x14ac:dyDescent="0.3">
      <c r="A132" s="367"/>
      <c r="B132" s="367"/>
      <c r="C132" s="367"/>
      <c r="D132" s="367"/>
      <c r="E132" s="367"/>
      <c r="F132" s="369"/>
      <c r="G132" s="367"/>
      <c r="H132" s="367"/>
      <c r="I132" s="309"/>
    </row>
    <row r="133" spans="1:9" ht="18.75" x14ac:dyDescent="0.3">
      <c r="A133" s="367"/>
      <c r="B133" s="367"/>
      <c r="C133" s="367"/>
      <c r="D133" s="367"/>
      <c r="E133" s="367"/>
      <c r="F133" s="369"/>
      <c r="G133" s="367"/>
      <c r="H133" s="367"/>
      <c r="I133" s="309"/>
    </row>
    <row r="134" spans="1:9" ht="18.75" x14ac:dyDescent="0.3">
      <c r="A134" s="367"/>
      <c r="B134" s="367"/>
      <c r="C134" s="367"/>
      <c r="D134" s="367"/>
      <c r="E134" s="367"/>
      <c r="F134" s="369"/>
      <c r="G134" s="367"/>
      <c r="H134" s="367"/>
      <c r="I134" s="309"/>
    </row>
    <row r="135" spans="1:9" ht="18.75" x14ac:dyDescent="0.3">
      <c r="A135" s="367"/>
      <c r="B135" s="367"/>
      <c r="C135" s="367"/>
      <c r="D135" s="367"/>
      <c r="E135" s="367"/>
      <c r="F135" s="369"/>
      <c r="G135" s="367"/>
      <c r="H135" s="367"/>
      <c r="I135" s="309"/>
    </row>
    <row r="136" spans="1:9" ht="18.75" x14ac:dyDescent="0.3">
      <c r="A136" s="367"/>
      <c r="B136" s="367"/>
      <c r="C136" s="367"/>
      <c r="D136" s="367"/>
      <c r="E136" s="367"/>
      <c r="F136" s="369"/>
      <c r="G136" s="367"/>
      <c r="H136" s="367"/>
      <c r="I136" s="309"/>
    </row>
    <row r="137" spans="1:9" ht="18.75" x14ac:dyDescent="0.3">
      <c r="A137" s="367"/>
      <c r="B137" s="367"/>
      <c r="C137" s="367"/>
      <c r="D137" s="367"/>
      <c r="E137" s="367"/>
      <c r="F137" s="369"/>
      <c r="G137" s="367"/>
      <c r="H137" s="367"/>
      <c r="I137" s="309"/>
    </row>
    <row r="138" spans="1:9" ht="18.75" x14ac:dyDescent="0.3">
      <c r="A138" s="367"/>
      <c r="B138" s="367"/>
      <c r="C138" s="367"/>
      <c r="D138" s="367"/>
      <c r="E138" s="367"/>
      <c r="F138" s="369"/>
      <c r="G138" s="367"/>
      <c r="H138" s="367"/>
      <c r="I138" s="309"/>
    </row>
    <row r="250" spans="1:1" x14ac:dyDescent="0.25">
      <c r="A250" s="30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83" workbookViewId="0">
      <selection activeCell="D59" sqref="D59:F61"/>
    </sheetView>
  </sheetViews>
  <sheetFormatPr defaultRowHeight="13.5" x14ac:dyDescent="0.2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38"/>
  </cols>
  <sheetData>
    <row r="14" spans="1:6" ht="15" customHeight="1" x14ac:dyDescent="0.3">
      <c r="A14" s="92"/>
      <c r="C14" s="94"/>
      <c r="F14" s="94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95" t="s">
        <v>1</v>
      </c>
      <c r="B16" s="96" t="s">
        <v>2</v>
      </c>
    </row>
    <row r="17" spans="1:6" ht="16.5" customHeight="1" x14ac:dyDescent="0.3">
      <c r="A17" s="97" t="s">
        <v>3</v>
      </c>
      <c r="B17" s="97" t="s">
        <v>131</v>
      </c>
      <c r="D17" s="98"/>
      <c r="E17" s="99"/>
    </row>
    <row r="18" spans="1:6" ht="16.5" customHeight="1" x14ac:dyDescent="0.3">
      <c r="A18" s="100" t="s">
        <v>4</v>
      </c>
      <c r="B18" s="93" t="s">
        <v>146</v>
      </c>
      <c r="C18" s="99"/>
      <c r="D18" s="99"/>
      <c r="E18" s="99"/>
    </row>
    <row r="19" spans="1:6" ht="16.5" customHeight="1" x14ac:dyDescent="0.3">
      <c r="A19" s="100" t="s">
        <v>6</v>
      </c>
      <c r="B19" s="101">
        <v>99.5</v>
      </c>
      <c r="C19" s="99"/>
      <c r="D19" s="99"/>
      <c r="E19" s="99"/>
    </row>
    <row r="20" spans="1:6" ht="16.5" customHeight="1" x14ac:dyDescent="0.3">
      <c r="A20" s="97" t="s">
        <v>8</v>
      </c>
      <c r="B20" s="101">
        <v>22.04</v>
      </c>
      <c r="C20" s="99"/>
      <c r="D20" s="99"/>
      <c r="E20" s="99"/>
    </row>
    <row r="21" spans="1:6" ht="16.5" customHeight="1" x14ac:dyDescent="0.3">
      <c r="A21" s="97" t="s">
        <v>10</v>
      </c>
      <c r="B21" s="102">
        <f>22.04/50</f>
        <v>0.44079999999999997</v>
      </c>
      <c r="C21" s="99"/>
      <c r="D21" s="99"/>
      <c r="E21" s="99"/>
    </row>
    <row r="22" spans="1:6" ht="15.75" customHeight="1" x14ac:dyDescent="0.25">
      <c r="A22" s="99"/>
      <c r="B22" s="99" t="s">
        <v>133</v>
      </c>
      <c r="C22" s="99"/>
      <c r="D22" s="99"/>
      <c r="E22" s="99"/>
    </row>
    <row r="23" spans="1:6" ht="16.5" customHeight="1" x14ac:dyDescent="0.3">
      <c r="A23" s="103" t="s">
        <v>13</v>
      </c>
      <c r="B23" s="104" t="s">
        <v>14</v>
      </c>
      <c r="C23" s="103" t="s">
        <v>15</v>
      </c>
      <c r="D23" s="103" t="s">
        <v>16</v>
      </c>
      <c r="E23" s="104" t="s">
        <v>17</v>
      </c>
      <c r="F23" s="105" t="s">
        <v>136</v>
      </c>
    </row>
    <row r="24" spans="1:6" ht="16.5" customHeight="1" x14ac:dyDescent="0.3">
      <c r="A24" s="106">
        <v>1</v>
      </c>
      <c r="B24" s="107">
        <v>65931781</v>
      </c>
      <c r="C24" s="107">
        <v>13384</v>
      </c>
      <c r="D24" s="108">
        <v>0.9</v>
      </c>
      <c r="E24" s="109">
        <v>6.1</v>
      </c>
      <c r="F24" s="110">
        <v>5.4</v>
      </c>
    </row>
    <row r="25" spans="1:6" ht="16.5" customHeight="1" x14ac:dyDescent="0.3">
      <c r="A25" s="106">
        <v>2</v>
      </c>
      <c r="B25" s="107">
        <v>65646525</v>
      </c>
      <c r="C25" s="107">
        <v>13480.4</v>
      </c>
      <c r="D25" s="108">
        <v>0.9</v>
      </c>
      <c r="E25" s="111">
        <v>6.1</v>
      </c>
      <c r="F25" s="110">
        <v>5.5</v>
      </c>
    </row>
    <row r="26" spans="1:6" ht="16.5" customHeight="1" x14ac:dyDescent="0.3">
      <c r="A26" s="106">
        <v>3</v>
      </c>
      <c r="B26" s="107">
        <v>65511853</v>
      </c>
      <c r="C26" s="107">
        <v>13435.3</v>
      </c>
      <c r="D26" s="108">
        <v>0.9</v>
      </c>
      <c r="E26" s="111">
        <v>6.1</v>
      </c>
      <c r="F26" s="110">
        <v>5.5</v>
      </c>
    </row>
    <row r="27" spans="1:6" ht="16.5" customHeight="1" x14ac:dyDescent="0.3">
      <c r="A27" s="106">
        <v>4</v>
      </c>
      <c r="B27" s="107">
        <v>65707274</v>
      </c>
      <c r="C27" s="107">
        <v>13366.8</v>
      </c>
      <c r="D27" s="108">
        <v>0.9</v>
      </c>
      <c r="E27" s="111">
        <v>6.1</v>
      </c>
      <c r="F27" s="110">
        <v>5.4</v>
      </c>
    </row>
    <row r="28" spans="1:6" ht="16.5" customHeight="1" x14ac:dyDescent="0.3">
      <c r="A28" s="106">
        <v>5</v>
      </c>
      <c r="B28" s="107">
        <v>66065159</v>
      </c>
      <c r="C28" s="107">
        <v>13307.4</v>
      </c>
      <c r="D28" s="108">
        <v>0.9</v>
      </c>
      <c r="E28" s="111">
        <v>6.1</v>
      </c>
      <c r="F28" s="110">
        <v>5.5</v>
      </c>
    </row>
    <row r="29" spans="1:6" ht="16.5" customHeight="1" x14ac:dyDescent="0.3">
      <c r="A29" s="106">
        <v>6</v>
      </c>
      <c r="B29" s="112">
        <v>65756096</v>
      </c>
      <c r="C29" s="112">
        <v>13307.2</v>
      </c>
      <c r="D29" s="113">
        <v>0.9</v>
      </c>
      <c r="E29" s="114">
        <v>6.1</v>
      </c>
      <c r="F29" s="110">
        <v>5.4</v>
      </c>
    </row>
    <row r="30" spans="1:6" ht="16.5" customHeight="1" x14ac:dyDescent="0.3">
      <c r="A30" s="115" t="s">
        <v>18</v>
      </c>
      <c r="B30" s="116">
        <f>AVERAGE(B24:B29)</f>
        <v>65769781.333333336</v>
      </c>
      <c r="C30" s="117">
        <f>AVERAGE(C24:C29)</f>
        <v>13380.183333333332</v>
      </c>
      <c r="D30" s="118">
        <v>0.9</v>
      </c>
      <c r="E30" s="119">
        <f>AVERAGE(E24:E29)</f>
        <v>6.1000000000000005</v>
      </c>
      <c r="F30" s="474">
        <v>5.4</v>
      </c>
    </row>
    <row r="31" spans="1:6" ht="16.5" customHeight="1" x14ac:dyDescent="0.3">
      <c r="A31" s="120" t="s">
        <v>19</v>
      </c>
      <c r="B31" s="121">
        <f>(STDEV(B24:B29)/B30)</f>
        <v>3.0356255544268912E-3</v>
      </c>
      <c r="C31" s="122"/>
      <c r="D31" s="122"/>
      <c r="E31" s="123"/>
      <c r="F31" s="124"/>
    </row>
    <row r="32" spans="1:6" s="93" customFormat="1" ht="16.5" customHeight="1" x14ac:dyDescent="0.3">
      <c r="A32" s="125" t="s">
        <v>20</v>
      </c>
      <c r="B32" s="126">
        <f>COUNT(B24:B29)</f>
        <v>6</v>
      </c>
      <c r="C32" s="127"/>
      <c r="D32" s="128"/>
      <c r="E32" s="128"/>
      <c r="F32" s="129"/>
    </row>
    <row r="33" spans="1:5" s="93" customFormat="1" ht="15.75" customHeight="1" x14ac:dyDescent="0.25">
      <c r="A33" s="99"/>
      <c r="B33" s="99"/>
      <c r="C33" s="99"/>
      <c r="D33" s="99"/>
      <c r="E33" s="99"/>
    </row>
    <row r="34" spans="1:5" s="93" customFormat="1" ht="16.5" customHeight="1" x14ac:dyDescent="0.3">
      <c r="A34" s="100" t="s">
        <v>21</v>
      </c>
      <c r="B34" s="130" t="s">
        <v>22</v>
      </c>
      <c r="C34" s="131"/>
      <c r="D34" s="131"/>
      <c r="E34" s="131"/>
    </row>
    <row r="35" spans="1:5" ht="16.5" customHeight="1" x14ac:dyDescent="0.3">
      <c r="A35" s="100"/>
      <c r="B35" s="130" t="s">
        <v>147</v>
      </c>
      <c r="C35" s="131"/>
      <c r="D35" s="131"/>
      <c r="E35" s="131"/>
    </row>
    <row r="36" spans="1:5" ht="16.5" customHeight="1" x14ac:dyDescent="0.3">
      <c r="A36" s="100"/>
      <c r="B36" s="130" t="s">
        <v>24</v>
      </c>
      <c r="C36" s="131"/>
      <c r="D36" s="131"/>
      <c r="E36" s="131"/>
    </row>
    <row r="37" spans="1:5" ht="15.75" customHeight="1" x14ac:dyDescent="0.25">
      <c r="A37" s="99"/>
      <c r="B37" s="99" t="s">
        <v>138</v>
      </c>
      <c r="C37" s="99"/>
      <c r="D37" s="99"/>
      <c r="E37" s="99"/>
    </row>
    <row r="38" spans="1:5" ht="16.5" customHeight="1" x14ac:dyDescent="0.3">
      <c r="A38" s="95" t="s">
        <v>1</v>
      </c>
      <c r="B38" s="96" t="s">
        <v>25</v>
      </c>
    </row>
    <row r="39" spans="1:5" ht="16.5" customHeight="1" x14ac:dyDescent="0.3">
      <c r="A39" s="100" t="s">
        <v>4</v>
      </c>
      <c r="B39" s="97"/>
      <c r="C39" s="99"/>
      <c r="D39" s="99"/>
      <c r="E39" s="99"/>
    </row>
    <row r="40" spans="1:5" ht="16.5" customHeight="1" x14ac:dyDescent="0.3">
      <c r="A40" s="100" t="s">
        <v>6</v>
      </c>
      <c r="B40" s="101"/>
      <c r="C40" s="99"/>
      <c r="D40" s="99"/>
      <c r="E40" s="99"/>
    </row>
    <row r="41" spans="1:5" ht="16.5" customHeight="1" x14ac:dyDescent="0.3">
      <c r="A41" s="97" t="s">
        <v>8</v>
      </c>
      <c r="B41" s="101"/>
      <c r="C41" s="99"/>
      <c r="D41" s="99"/>
      <c r="E41" s="99"/>
    </row>
    <row r="42" spans="1:5" ht="16.5" customHeight="1" x14ac:dyDescent="0.3">
      <c r="A42" s="97" t="s">
        <v>10</v>
      </c>
      <c r="B42" s="102"/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 x14ac:dyDescent="0.3">
      <c r="A45" s="106">
        <v>1</v>
      </c>
      <c r="B45" s="107"/>
      <c r="C45" s="107"/>
      <c r="D45" s="108"/>
      <c r="E45" s="132"/>
    </row>
    <row r="46" spans="1:5" ht="16.5" customHeight="1" x14ac:dyDescent="0.3">
      <c r="A46" s="106">
        <v>2</v>
      </c>
      <c r="B46" s="107"/>
      <c r="C46" s="107"/>
      <c r="D46" s="108"/>
      <c r="E46" s="108"/>
    </row>
    <row r="47" spans="1:5" ht="16.5" customHeight="1" x14ac:dyDescent="0.3">
      <c r="A47" s="106">
        <v>3</v>
      </c>
      <c r="B47" s="107"/>
      <c r="C47" s="107"/>
      <c r="D47" s="108"/>
      <c r="E47" s="108"/>
    </row>
    <row r="48" spans="1:5" ht="16.5" customHeight="1" x14ac:dyDescent="0.3">
      <c r="A48" s="106">
        <v>4</v>
      </c>
      <c r="B48" s="107"/>
      <c r="C48" s="107"/>
      <c r="D48" s="108"/>
      <c r="E48" s="108"/>
    </row>
    <row r="49" spans="1:7" ht="16.5" customHeight="1" x14ac:dyDescent="0.3">
      <c r="A49" s="106">
        <v>5</v>
      </c>
      <c r="B49" s="107"/>
      <c r="C49" s="107"/>
      <c r="D49" s="108"/>
      <c r="E49" s="108"/>
    </row>
    <row r="50" spans="1:7" ht="16.5" customHeight="1" x14ac:dyDescent="0.3">
      <c r="A50" s="106">
        <v>6</v>
      </c>
      <c r="B50" s="112"/>
      <c r="C50" s="112"/>
      <c r="D50" s="113"/>
      <c r="E50" s="113"/>
    </row>
    <row r="51" spans="1:7" ht="16.5" customHeight="1" x14ac:dyDescent="0.3">
      <c r="A51" s="115" t="s">
        <v>18</v>
      </c>
      <c r="B51" s="116" t="e">
        <f>AVERAGE(B45:B50)</f>
        <v>#DIV/0!</v>
      </c>
      <c r="C51" s="117" t="e">
        <f>AVERAGE(C45:C50)</f>
        <v>#DIV/0!</v>
      </c>
      <c r="D51" s="118" t="e">
        <f>AVERAGE(D45:D50)</f>
        <v>#DIV/0!</v>
      </c>
      <c r="E51" s="118" t="e">
        <f>AVERAGE(E45:E50)</f>
        <v>#DIV/0!</v>
      </c>
    </row>
    <row r="52" spans="1:7" ht="16.5" customHeight="1" x14ac:dyDescent="0.3">
      <c r="A52" s="120" t="s">
        <v>19</v>
      </c>
      <c r="B52" s="121" t="e">
        <f>(STDEV(B45:B50)/B51)</f>
        <v>#DIV/0!</v>
      </c>
      <c r="C52" s="122"/>
      <c r="D52" s="122"/>
      <c r="E52" s="133"/>
    </row>
    <row r="53" spans="1:7" s="93" customFormat="1" ht="16.5" customHeight="1" x14ac:dyDescent="0.3">
      <c r="A53" s="125" t="s">
        <v>20</v>
      </c>
      <c r="B53" s="126">
        <f>COUNT(B45:B50)</f>
        <v>0</v>
      </c>
      <c r="C53" s="127"/>
      <c r="D53" s="128"/>
      <c r="E53" s="134"/>
    </row>
    <row r="54" spans="1:7" s="93" customFormat="1" ht="15.75" customHeight="1" x14ac:dyDescent="0.25">
      <c r="A54" s="99"/>
      <c r="B54" s="99"/>
      <c r="C54" s="99"/>
      <c r="D54" s="99"/>
      <c r="E54" s="99"/>
    </row>
    <row r="55" spans="1:7" s="93" customFormat="1" ht="16.5" customHeight="1" x14ac:dyDescent="0.3">
      <c r="A55" s="100" t="s">
        <v>21</v>
      </c>
      <c r="B55" s="130" t="s">
        <v>22</v>
      </c>
      <c r="C55" s="131"/>
      <c r="D55" s="131"/>
      <c r="E55" s="131"/>
    </row>
    <row r="56" spans="1:7" ht="16.5" customHeight="1" x14ac:dyDescent="0.3">
      <c r="A56" s="100"/>
      <c r="B56" s="130" t="s">
        <v>23</v>
      </c>
      <c r="C56" s="131"/>
      <c r="D56" s="131"/>
      <c r="E56" s="131"/>
    </row>
    <row r="57" spans="1:7" ht="16.5" customHeight="1" x14ac:dyDescent="0.3">
      <c r="A57" s="100"/>
      <c r="B57" s="130" t="s">
        <v>24</v>
      </c>
      <c r="C57" s="131"/>
      <c r="D57" s="131"/>
      <c r="E57" s="131"/>
    </row>
    <row r="58" spans="1:7" ht="14.25" customHeight="1" thickBot="1" x14ac:dyDescent="0.3">
      <c r="A58" s="135"/>
      <c r="B58" s="136"/>
      <c r="D58" s="137"/>
      <c r="F58" s="138"/>
      <c r="G58" s="138"/>
    </row>
    <row r="59" spans="1:7" ht="15" customHeight="1" x14ac:dyDescent="0.3">
      <c r="B59" s="567" t="s">
        <v>26</v>
      </c>
      <c r="C59" s="567"/>
      <c r="D59" s="139" t="s">
        <v>27</v>
      </c>
      <c r="E59" s="140"/>
      <c r="F59" s="139" t="s">
        <v>28</v>
      </c>
    </row>
    <row r="60" spans="1:7" ht="15" customHeight="1" x14ac:dyDescent="0.3">
      <c r="A60" s="141" t="s">
        <v>29</v>
      </c>
      <c r="B60" s="142"/>
      <c r="C60" s="142"/>
      <c r="D60" s="142"/>
      <c r="F60" s="142"/>
    </row>
    <row r="61" spans="1:7" ht="15" customHeight="1" x14ac:dyDescent="0.3">
      <c r="A61" s="141" t="s">
        <v>30</v>
      </c>
      <c r="B61" s="143"/>
      <c r="C61" s="143"/>
      <c r="D61" s="143"/>
      <c r="F61" s="144"/>
    </row>
  </sheetData>
  <sheetProtection formatCells="0" formatColumns="0" formatRows="0" insertColumns="0" insertRows="0" insertHyperlinks="0" deleteColumns="0" deleteRows="0" sort="0" autoFilter="0" pivotTables="0"/>
  <mergeCells count="1">
    <mergeCell ref="A15:E15"/>
  </mergeCells>
  <pageMargins left="0.7" right="0.7" top="0.75" bottom="0.75" header="0.3" footer="0.3"/>
  <pageSetup scale="5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40" zoomScaleSheetLayoutView="55" zoomScalePageLayoutView="41" workbookViewId="0">
      <selection activeCell="F71" sqref="F71"/>
    </sheetView>
  </sheetViews>
  <sheetFormatPr defaultColWidth="9.140625" defaultRowHeight="13.5" x14ac:dyDescent="0.25"/>
  <cols>
    <col min="1" max="1" width="55.42578125" style="308" customWidth="1"/>
    <col min="2" max="2" width="33.7109375" style="308" customWidth="1"/>
    <col min="3" max="3" width="42.28515625" style="308" customWidth="1"/>
    <col min="4" max="4" width="30.5703125" style="308" customWidth="1"/>
    <col min="5" max="5" width="39.85546875" style="308" customWidth="1"/>
    <col min="6" max="6" width="30.7109375" style="308" customWidth="1"/>
    <col min="7" max="7" width="39.85546875" style="308" customWidth="1"/>
    <col min="8" max="8" width="30" style="308" customWidth="1"/>
    <col min="9" max="9" width="30.28515625" style="308" hidden="1" customWidth="1"/>
    <col min="10" max="10" width="30.42578125" style="308" customWidth="1"/>
    <col min="11" max="11" width="21.28515625" style="308" customWidth="1"/>
    <col min="12" max="12" width="9.140625" style="308"/>
    <col min="13" max="16384" width="9.140625" style="310"/>
  </cols>
  <sheetData>
    <row r="1" spans="1:9" ht="18.75" customHeight="1" x14ac:dyDescent="0.25">
      <c r="A1" s="521" t="s">
        <v>45</v>
      </c>
      <c r="B1" s="521"/>
      <c r="C1" s="521"/>
      <c r="D1" s="521"/>
      <c r="E1" s="521"/>
      <c r="F1" s="521"/>
      <c r="G1" s="521"/>
      <c r="H1" s="521"/>
      <c r="I1" s="521"/>
    </row>
    <row r="2" spans="1:9" ht="18.75" customHeight="1" x14ac:dyDescent="0.25">
      <c r="A2" s="521"/>
      <c r="B2" s="521"/>
      <c r="C2" s="521"/>
      <c r="D2" s="521"/>
      <c r="E2" s="521"/>
      <c r="F2" s="521"/>
      <c r="G2" s="521"/>
      <c r="H2" s="521"/>
      <c r="I2" s="521"/>
    </row>
    <row r="3" spans="1:9" ht="18.75" customHeight="1" x14ac:dyDescent="0.25">
      <c r="A3" s="521"/>
      <c r="B3" s="521"/>
      <c r="C3" s="521"/>
      <c r="D3" s="521"/>
      <c r="E3" s="521"/>
      <c r="F3" s="521"/>
      <c r="G3" s="521"/>
      <c r="H3" s="521"/>
      <c r="I3" s="521"/>
    </row>
    <row r="4" spans="1:9" ht="18.75" customHeight="1" x14ac:dyDescent="0.25">
      <c r="A4" s="521"/>
      <c r="B4" s="521"/>
      <c r="C4" s="521"/>
      <c r="D4" s="521"/>
      <c r="E4" s="521"/>
      <c r="F4" s="521"/>
      <c r="G4" s="521"/>
      <c r="H4" s="521"/>
      <c r="I4" s="521"/>
    </row>
    <row r="5" spans="1:9" ht="18.75" customHeight="1" x14ac:dyDescent="0.25">
      <c r="A5" s="521"/>
      <c r="B5" s="521"/>
      <c r="C5" s="521"/>
      <c r="D5" s="521"/>
      <c r="E5" s="521"/>
      <c r="F5" s="521"/>
      <c r="G5" s="521"/>
      <c r="H5" s="521"/>
      <c r="I5" s="521"/>
    </row>
    <row r="6" spans="1:9" ht="18.75" customHeight="1" x14ac:dyDescent="0.25">
      <c r="A6" s="521"/>
      <c r="B6" s="521"/>
      <c r="C6" s="521"/>
      <c r="D6" s="521"/>
      <c r="E6" s="521"/>
      <c r="F6" s="521"/>
      <c r="G6" s="521"/>
      <c r="H6" s="521"/>
      <c r="I6" s="521"/>
    </row>
    <row r="7" spans="1:9" ht="18.75" customHeight="1" x14ac:dyDescent="0.25">
      <c r="A7" s="521"/>
      <c r="B7" s="521"/>
      <c r="C7" s="521"/>
      <c r="D7" s="521"/>
      <c r="E7" s="521"/>
      <c r="F7" s="521"/>
      <c r="G7" s="521"/>
      <c r="H7" s="521"/>
      <c r="I7" s="521"/>
    </row>
    <row r="8" spans="1:9" x14ac:dyDescent="0.25">
      <c r="A8" s="522" t="s">
        <v>46</v>
      </c>
      <c r="B8" s="522"/>
      <c r="C8" s="522"/>
      <c r="D8" s="522"/>
      <c r="E8" s="522"/>
      <c r="F8" s="522"/>
      <c r="G8" s="522"/>
      <c r="H8" s="522"/>
      <c r="I8" s="522"/>
    </row>
    <row r="9" spans="1:9" x14ac:dyDescent="0.25">
      <c r="A9" s="522"/>
      <c r="B9" s="522"/>
      <c r="C9" s="522"/>
      <c r="D9" s="522"/>
      <c r="E9" s="522"/>
      <c r="F9" s="522"/>
      <c r="G9" s="522"/>
      <c r="H9" s="522"/>
      <c r="I9" s="522"/>
    </row>
    <row r="10" spans="1:9" x14ac:dyDescent="0.25">
      <c r="A10" s="522"/>
      <c r="B10" s="522"/>
      <c r="C10" s="522"/>
      <c r="D10" s="522"/>
      <c r="E10" s="522"/>
      <c r="F10" s="522"/>
      <c r="G10" s="522"/>
      <c r="H10" s="522"/>
      <c r="I10" s="522"/>
    </row>
    <row r="11" spans="1:9" x14ac:dyDescent="0.25">
      <c r="A11" s="522"/>
      <c r="B11" s="522"/>
      <c r="C11" s="522"/>
      <c r="D11" s="522"/>
      <c r="E11" s="522"/>
      <c r="F11" s="522"/>
      <c r="G11" s="522"/>
      <c r="H11" s="522"/>
      <c r="I11" s="522"/>
    </row>
    <row r="12" spans="1:9" x14ac:dyDescent="0.25">
      <c r="A12" s="522"/>
      <c r="B12" s="522"/>
      <c r="C12" s="522"/>
      <c r="D12" s="522"/>
      <c r="E12" s="522"/>
      <c r="F12" s="522"/>
      <c r="G12" s="522"/>
      <c r="H12" s="522"/>
      <c r="I12" s="522"/>
    </row>
    <row r="13" spans="1:9" x14ac:dyDescent="0.25">
      <c r="A13" s="522"/>
      <c r="B13" s="522"/>
      <c r="C13" s="522"/>
      <c r="D13" s="522"/>
      <c r="E13" s="522"/>
      <c r="F13" s="522"/>
      <c r="G13" s="522"/>
      <c r="H13" s="522"/>
      <c r="I13" s="522"/>
    </row>
    <row r="14" spans="1:9" x14ac:dyDescent="0.25">
      <c r="A14" s="522"/>
      <c r="B14" s="522"/>
      <c r="C14" s="522"/>
      <c r="D14" s="522"/>
      <c r="E14" s="522"/>
      <c r="F14" s="522"/>
      <c r="G14" s="522"/>
      <c r="H14" s="522"/>
      <c r="I14" s="522"/>
    </row>
    <row r="15" spans="1:9" ht="19.5" customHeight="1" thickBot="1" x14ac:dyDescent="0.35">
      <c r="A15" s="309"/>
    </row>
    <row r="16" spans="1:9" ht="19.5" customHeight="1" thickBot="1" x14ac:dyDescent="0.35">
      <c r="A16" s="523" t="s">
        <v>31</v>
      </c>
      <c r="B16" s="524"/>
      <c r="C16" s="524"/>
      <c r="D16" s="524"/>
      <c r="E16" s="524"/>
      <c r="F16" s="524"/>
      <c r="G16" s="524"/>
      <c r="H16" s="525"/>
    </row>
    <row r="17" spans="1:14" ht="20.25" customHeight="1" x14ac:dyDescent="0.25">
      <c r="A17" s="526" t="s">
        <v>47</v>
      </c>
      <c r="B17" s="526"/>
      <c r="C17" s="526"/>
      <c r="D17" s="526"/>
      <c r="E17" s="526"/>
      <c r="F17" s="526"/>
      <c r="G17" s="526"/>
      <c r="H17" s="526"/>
    </row>
    <row r="18" spans="1:14" ht="26.25" customHeight="1" x14ac:dyDescent="0.4">
      <c r="A18" s="311" t="s">
        <v>33</v>
      </c>
      <c r="B18" s="527" t="s">
        <v>131</v>
      </c>
      <c r="C18" s="527"/>
      <c r="D18" s="312"/>
      <c r="E18" s="313"/>
      <c r="F18" s="314"/>
      <c r="G18" s="314"/>
      <c r="H18" s="314"/>
    </row>
    <row r="19" spans="1:14" ht="26.25" customHeight="1" x14ac:dyDescent="0.4">
      <c r="A19" s="311" t="s">
        <v>34</v>
      </c>
      <c r="B19" s="315" t="s">
        <v>7</v>
      </c>
      <c r="C19" s="314">
        <v>1</v>
      </c>
      <c r="D19" s="314"/>
      <c r="E19" s="314"/>
      <c r="F19" s="314"/>
      <c r="G19" s="314"/>
      <c r="H19" s="314"/>
    </row>
    <row r="20" spans="1:14" ht="26.25" customHeight="1" x14ac:dyDescent="0.4">
      <c r="A20" s="311" t="s">
        <v>35</v>
      </c>
      <c r="B20" s="528" t="s">
        <v>145</v>
      </c>
      <c r="C20" s="528"/>
      <c r="D20" s="314"/>
      <c r="E20" s="314"/>
      <c r="F20" s="314"/>
      <c r="G20" s="314"/>
      <c r="H20" s="314"/>
    </row>
    <row r="21" spans="1:14" ht="26.25" customHeight="1" x14ac:dyDescent="0.4">
      <c r="A21" s="311" t="s">
        <v>36</v>
      </c>
      <c r="B21" s="528" t="s">
        <v>141</v>
      </c>
      <c r="C21" s="528"/>
      <c r="D21" s="528"/>
      <c r="E21" s="528"/>
      <c r="F21" s="528"/>
      <c r="G21" s="528"/>
      <c r="H21" s="528"/>
      <c r="I21" s="316"/>
    </row>
    <row r="22" spans="1:14" ht="26.25" customHeight="1" x14ac:dyDescent="0.4">
      <c r="A22" s="311" t="s">
        <v>37</v>
      </c>
      <c r="B22" s="317" t="s">
        <v>133</v>
      </c>
      <c r="C22" s="314"/>
      <c r="D22" s="314"/>
      <c r="E22" s="314"/>
      <c r="F22" s="314"/>
      <c r="G22" s="314"/>
      <c r="H22" s="314"/>
    </row>
    <row r="23" spans="1:14" ht="26.25" customHeight="1" x14ac:dyDescent="0.4">
      <c r="A23" s="311" t="s">
        <v>38</v>
      </c>
      <c r="B23" s="317"/>
      <c r="C23" s="314"/>
      <c r="D23" s="314"/>
      <c r="E23" s="314"/>
      <c r="F23" s="314"/>
      <c r="G23" s="314"/>
      <c r="H23" s="314"/>
    </row>
    <row r="24" spans="1:14" ht="18.75" x14ac:dyDescent="0.3">
      <c r="A24" s="311"/>
      <c r="B24" s="318"/>
    </row>
    <row r="25" spans="1:14" ht="18.75" x14ac:dyDescent="0.3">
      <c r="A25" s="319" t="s">
        <v>1</v>
      </c>
      <c r="B25" s="318"/>
    </row>
    <row r="26" spans="1:14" ht="26.25" customHeight="1" x14ac:dyDescent="0.4">
      <c r="A26" s="320" t="s">
        <v>4</v>
      </c>
      <c r="B26" s="527" t="s">
        <v>145</v>
      </c>
      <c r="C26" s="527"/>
    </row>
    <row r="27" spans="1:14" ht="26.25" customHeight="1" x14ac:dyDescent="0.4">
      <c r="A27" s="321" t="s">
        <v>48</v>
      </c>
      <c r="B27" s="529" t="s">
        <v>144</v>
      </c>
      <c r="C27" s="529"/>
    </row>
    <row r="28" spans="1:14" ht="27" customHeight="1" thickBot="1" x14ac:dyDescent="0.45">
      <c r="A28" s="321" t="s">
        <v>6</v>
      </c>
      <c r="B28" s="322">
        <v>99.5</v>
      </c>
    </row>
    <row r="29" spans="1:14" s="324" customFormat="1" ht="27" customHeight="1" thickBot="1" x14ac:dyDescent="0.45">
      <c r="A29" s="321" t="s">
        <v>49</v>
      </c>
      <c r="B29" s="323">
        <v>0</v>
      </c>
      <c r="C29" s="530" t="s">
        <v>50</v>
      </c>
      <c r="D29" s="531"/>
      <c r="E29" s="531"/>
      <c r="F29" s="531"/>
      <c r="G29" s="532"/>
      <c r="I29" s="325"/>
      <c r="J29" s="325"/>
      <c r="K29" s="325"/>
      <c r="L29" s="325"/>
    </row>
    <row r="30" spans="1:14" s="324" customFormat="1" ht="19.5" customHeight="1" thickBot="1" x14ac:dyDescent="0.35">
      <c r="A30" s="321" t="s">
        <v>51</v>
      </c>
      <c r="B30" s="326">
        <f>B28-B29</f>
        <v>99.5</v>
      </c>
      <c r="C30" s="327"/>
      <c r="D30" s="327"/>
      <c r="E30" s="327"/>
      <c r="F30" s="327"/>
      <c r="G30" s="328"/>
      <c r="I30" s="325"/>
      <c r="J30" s="325"/>
      <c r="K30" s="325"/>
      <c r="L30" s="325"/>
    </row>
    <row r="31" spans="1:14" s="324" customFormat="1" ht="27" customHeight="1" thickBot="1" x14ac:dyDescent="0.45">
      <c r="A31" s="321" t="s">
        <v>52</v>
      </c>
      <c r="B31" s="329">
        <v>1</v>
      </c>
      <c r="C31" s="518" t="s">
        <v>53</v>
      </c>
      <c r="D31" s="519"/>
      <c r="E31" s="519"/>
      <c r="F31" s="519"/>
      <c r="G31" s="519"/>
      <c r="H31" s="520"/>
      <c r="I31" s="325"/>
      <c r="J31" s="325"/>
      <c r="K31" s="325"/>
      <c r="L31" s="325"/>
    </row>
    <row r="32" spans="1:14" s="324" customFormat="1" ht="27" customHeight="1" thickBot="1" x14ac:dyDescent="0.45">
      <c r="A32" s="321" t="s">
        <v>54</v>
      </c>
      <c r="B32" s="329">
        <v>1</v>
      </c>
      <c r="C32" s="518" t="s">
        <v>55</v>
      </c>
      <c r="D32" s="519"/>
      <c r="E32" s="519"/>
      <c r="F32" s="519"/>
      <c r="G32" s="519"/>
      <c r="H32" s="520"/>
      <c r="I32" s="325"/>
      <c r="J32" s="325"/>
      <c r="K32" s="325"/>
      <c r="L32" s="330"/>
      <c r="M32" s="330"/>
      <c r="N32" s="331"/>
    </row>
    <row r="33" spans="1:14" s="324" customFormat="1" ht="17.25" customHeight="1" x14ac:dyDescent="0.3">
      <c r="A33" s="321"/>
      <c r="B33" s="332"/>
      <c r="C33" s="333"/>
      <c r="D33" s="333"/>
      <c r="E33" s="333"/>
      <c r="F33" s="333"/>
      <c r="G33" s="333"/>
      <c r="H33" s="333"/>
      <c r="I33" s="325"/>
      <c r="J33" s="325"/>
      <c r="K33" s="325"/>
      <c r="L33" s="330"/>
      <c r="M33" s="330"/>
      <c r="N33" s="331"/>
    </row>
    <row r="34" spans="1:14" s="324" customFormat="1" ht="18.75" x14ac:dyDescent="0.3">
      <c r="A34" s="321" t="s">
        <v>56</v>
      </c>
      <c r="B34" s="334">
        <f>B31/B32</f>
        <v>1</v>
      </c>
      <c r="C34" s="309" t="s">
        <v>57</v>
      </c>
      <c r="D34" s="309"/>
      <c r="E34" s="309"/>
      <c r="F34" s="309"/>
      <c r="G34" s="309"/>
      <c r="I34" s="325"/>
      <c r="J34" s="325"/>
      <c r="K34" s="325"/>
      <c r="L34" s="330"/>
      <c r="M34" s="330"/>
      <c r="N34" s="331"/>
    </row>
    <row r="35" spans="1:14" s="324" customFormat="1" ht="19.5" customHeight="1" thickBot="1" x14ac:dyDescent="0.35">
      <c r="A35" s="321"/>
      <c r="B35" s="326"/>
      <c r="G35" s="309"/>
      <c r="I35" s="325"/>
      <c r="J35" s="325"/>
      <c r="K35" s="325"/>
      <c r="L35" s="330"/>
      <c r="M35" s="330"/>
      <c r="N35" s="331"/>
    </row>
    <row r="36" spans="1:14" s="324" customFormat="1" ht="27" customHeight="1" thickBot="1" x14ac:dyDescent="0.45">
      <c r="A36" s="335" t="s">
        <v>58</v>
      </c>
      <c r="B36" s="336">
        <v>50</v>
      </c>
      <c r="C36" s="309"/>
      <c r="D36" s="534" t="s">
        <v>59</v>
      </c>
      <c r="E36" s="535"/>
      <c r="F36" s="534" t="s">
        <v>60</v>
      </c>
      <c r="G36" s="536"/>
      <c r="J36" s="325"/>
      <c r="K36" s="325"/>
      <c r="L36" s="330"/>
      <c r="M36" s="330"/>
      <c r="N36" s="331"/>
    </row>
    <row r="37" spans="1:14" s="324" customFormat="1" ht="27" customHeight="1" thickBot="1" x14ac:dyDescent="0.45">
      <c r="A37" s="337" t="s">
        <v>61</v>
      </c>
      <c r="B37" s="338">
        <v>1</v>
      </c>
      <c r="C37" s="339" t="s">
        <v>62</v>
      </c>
      <c r="D37" s="340" t="s">
        <v>63</v>
      </c>
      <c r="E37" s="341" t="s">
        <v>64</v>
      </c>
      <c r="F37" s="340" t="s">
        <v>63</v>
      </c>
      <c r="G37" s="342" t="s">
        <v>64</v>
      </c>
      <c r="I37" s="343" t="s">
        <v>65</v>
      </c>
      <c r="J37" s="325"/>
      <c r="K37" s="325"/>
      <c r="L37" s="330"/>
      <c r="M37" s="330"/>
      <c r="N37" s="331"/>
    </row>
    <row r="38" spans="1:14" s="324" customFormat="1" ht="26.25" customHeight="1" x14ac:dyDescent="0.4">
      <c r="A38" s="337" t="s">
        <v>66</v>
      </c>
      <c r="B38" s="338">
        <v>1</v>
      </c>
      <c r="C38" s="344">
        <v>1</v>
      </c>
      <c r="D38" s="345">
        <v>66129148</v>
      </c>
      <c r="E38" s="346">
        <f>IF(ISBLANK(D38),"-",$D$48/$D$45*D38)</f>
        <v>66340835.575335845</v>
      </c>
      <c r="F38" s="345">
        <v>66209945</v>
      </c>
      <c r="G38" s="347">
        <f>IF(ISBLANK(F38),"-",$D$48/$F$45*F38)</f>
        <v>67712233.229049966</v>
      </c>
      <c r="I38" s="348"/>
      <c r="J38" s="325"/>
      <c r="K38" s="325"/>
      <c r="L38" s="330"/>
      <c r="M38" s="330"/>
      <c r="N38" s="331"/>
    </row>
    <row r="39" spans="1:14" s="324" customFormat="1" ht="26.25" customHeight="1" x14ac:dyDescent="0.4">
      <c r="A39" s="337" t="s">
        <v>67</v>
      </c>
      <c r="B39" s="338">
        <v>1</v>
      </c>
      <c r="C39" s="349">
        <v>2</v>
      </c>
      <c r="D39" s="350">
        <v>65805610</v>
      </c>
      <c r="E39" s="351">
        <f>IF(ISBLANK(D39),"-",$D$48/$D$45*D39)</f>
        <v>66016261.890213318</v>
      </c>
      <c r="F39" s="350">
        <v>66138502</v>
      </c>
      <c r="G39" s="352">
        <f>IF(ISBLANK(F39),"-",$D$48/$F$45*F39)</f>
        <v>67639169.20402196</v>
      </c>
      <c r="I39" s="537">
        <f>ABS((F43/D43*D42)-F42)/D42</f>
        <v>2.3740975307272965E-2</v>
      </c>
      <c r="J39" s="325"/>
      <c r="K39" s="325"/>
      <c r="L39" s="330"/>
      <c r="M39" s="330"/>
      <c r="N39" s="331"/>
    </row>
    <row r="40" spans="1:14" ht="26.25" customHeight="1" x14ac:dyDescent="0.4">
      <c r="A40" s="337" t="s">
        <v>68</v>
      </c>
      <c r="B40" s="338">
        <v>1</v>
      </c>
      <c r="C40" s="349">
        <v>3</v>
      </c>
      <c r="D40" s="350">
        <v>65810933</v>
      </c>
      <c r="E40" s="351">
        <f>IF(ISBLANK(D40),"-",$D$48/$D$45*D40)</f>
        <v>66021601.929794163</v>
      </c>
      <c r="F40" s="350">
        <v>66323626</v>
      </c>
      <c r="G40" s="352">
        <f>IF(ISBLANK(F40),"-",$D$48/$F$45*F40)</f>
        <v>67828493.624459013</v>
      </c>
      <c r="I40" s="537"/>
      <c r="L40" s="330"/>
      <c r="M40" s="330"/>
      <c r="N40" s="309"/>
    </row>
    <row r="41" spans="1:14" ht="27" customHeight="1" thickBot="1" x14ac:dyDescent="0.45">
      <c r="A41" s="337" t="s">
        <v>69</v>
      </c>
      <c r="B41" s="338">
        <v>1</v>
      </c>
      <c r="C41" s="353">
        <v>4</v>
      </c>
      <c r="D41" s="354"/>
      <c r="E41" s="355" t="str">
        <f>IF(ISBLANK(D41),"-",$D$48/$D$45*D41)</f>
        <v>-</v>
      </c>
      <c r="F41" s="354"/>
      <c r="G41" s="356" t="str">
        <f>IF(ISBLANK(F41),"-",$D$48/$F$45*F41)</f>
        <v>-</v>
      </c>
      <c r="I41" s="357"/>
      <c r="L41" s="330"/>
      <c r="M41" s="330"/>
      <c r="N41" s="309"/>
    </row>
    <row r="42" spans="1:14" ht="27" customHeight="1" thickBot="1" x14ac:dyDescent="0.45">
      <c r="A42" s="337" t="s">
        <v>70</v>
      </c>
      <c r="B42" s="338">
        <v>1</v>
      </c>
      <c r="C42" s="358" t="s">
        <v>71</v>
      </c>
      <c r="D42" s="359">
        <f>AVERAGE(D38:D41)</f>
        <v>65915230.333333336</v>
      </c>
      <c r="E42" s="360">
        <f>AVERAGE(E38:E41)</f>
        <v>66126233.131781109</v>
      </c>
      <c r="F42" s="359">
        <f>AVERAGE(F38:F41)</f>
        <v>66224024.333333336</v>
      </c>
      <c r="G42" s="361">
        <f>AVERAGE(G38:G41)</f>
        <v>67726632.019176975</v>
      </c>
      <c r="H42" s="362"/>
    </row>
    <row r="43" spans="1:14" ht="26.25" customHeight="1" x14ac:dyDescent="0.4">
      <c r="A43" s="337" t="s">
        <v>72</v>
      </c>
      <c r="B43" s="338">
        <v>1</v>
      </c>
      <c r="C43" s="363" t="s">
        <v>73</v>
      </c>
      <c r="D43" s="364">
        <v>22.04</v>
      </c>
      <c r="E43" s="309"/>
      <c r="F43" s="364">
        <v>21.62</v>
      </c>
      <c r="H43" s="362"/>
    </row>
    <row r="44" spans="1:14" ht="26.25" customHeight="1" x14ac:dyDescent="0.4">
      <c r="A44" s="337" t="s">
        <v>74</v>
      </c>
      <c r="B44" s="338">
        <v>1</v>
      </c>
      <c r="C44" s="365" t="s">
        <v>75</v>
      </c>
      <c r="D44" s="366">
        <f>D43*$B$34</f>
        <v>22.04</v>
      </c>
      <c r="E44" s="367"/>
      <c r="F44" s="366">
        <f>F43*$B$34</f>
        <v>21.62</v>
      </c>
      <c r="H44" s="362"/>
    </row>
    <row r="45" spans="1:14" ht="19.5" customHeight="1" thickBot="1" x14ac:dyDescent="0.35">
      <c r="A45" s="337" t="s">
        <v>76</v>
      </c>
      <c r="B45" s="349">
        <f>(B44/B43)*(B42/B41)*(B40/B39)*(B38/B37)*B36</f>
        <v>50</v>
      </c>
      <c r="C45" s="365" t="s">
        <v>77</v>
      </c>
      <c r="D45" s="368">
        <f>D44*$B$30/100</f>
        <v>21.9298</v>
      </c>
      <c r="E45" s="369"/>
      <c r="F45" s="368">
        <f>F44*$B$30/100</f>
        <v>21.511900000000001</v>
      </c>
      <c r="H45" s="362"/>
    </row>
    <row r="46" spans="1:14" ht="19.5" customHeight="1" thickBot="1" x14ac:dyDescent="0.35">
      <c r="A46" s="538" t="s">
        <v>78</v>
      </c>
      <c r="B46" s="539"/>
      <c r="C46" s="365" t="s">
        <v>79</v>
      </c>
      <c r="D46" s="370">
        <f>D45/$B$45</f>
        <v>0.43859599999999999</v>
      </c>
      <c r="E46" s="371"/>
      <c r="F46" s="372">
        <f>F45/$B$45</f>
        <v>0.43023800000000001</v>
      </c>
      <c r="H46" s="362"/>
    </row>
    <row r="47" spans="1:14" ht="27" customHeight="1" thickBot="1" x14ac:dyDescent="0.45">
      <c r="A47" s="540"/>
      <c r="B47" s="541"/>
      <c r="C47" s="373" t="s">
        <v>80</v>
      </c>
      <c r="D47" s="374">
        <v>0.44</v>
      </c>
      <c r="E47" s="375"/>
      <c r="F47" s="371"/>
      <c r="H47" s="362"/>
    </row>
    <row r="48" spans="1:14" ht="18.75" x14ac:dyDescent="0.3">
      <c r="C48" s="376" t="s">
        <v>81</v>
      </c>
      <c r="D48" s="368">
        <f>D47*$B$45</f>
        <v>22</v>
      </c>
      <c r="F48" s="377"/>
      <c r="H48" s="362"/>
    </row>
    <row r="49" spans="1:12" ht="19.5" customHeight="1" thickBot="1" x14ac:dyDescent="0.35">
      <c r="C49" s="378" t="s">
        <v>82</v>
      </c>
      <c r="D49" s="379">
        <f>D48/B34</f>
        <v>22</v>
      </c>
      <c r="F49" s="377"/>
      <c r="H49" s="362"/>
    </row>
    <row r="50" spans="1:12" ht="18.75" x14ac:dyDescent="0.3">
      <c r="C50" s="335" t="s">
        <v>83</v>
      </c>
      <c r="D50" s="380">
        <f>AVERAGE(E38:E41,G38:G41)</f>
        <v>66926432.575479053</v>
      </c>
      <c r="F50" s="381"/>
      <c r="H50" s="362"/>
    </row>
    <row r="51" spans="1:12" ht="18.75" x14ac:dyDescent="0.3">
      <c r="C51" s="337" t="s">
        <v>84</v>
      </c>
      <c r="D51" s="382">
        <f>STDEV(E38:E41,G38:G41)/D50</f>
        <v>1.3245604512786195E-2</v>
      </c>
      <c r="F51" s="381"/>
      <c r="H51" s="362"/>
    </row>
    <row r="52" spans="1:12" ht="19.5" customHeight="1" thickBot="1" x14ac:dyDescent="0.35">
      <c r="C52" s="383" t="s">
        <v>20</v>
      </c>
      <c r="D52" s="384">
        <f>COUNT(E38:E41,G38:G41)</f>
        <v>6</v>
      </c>
      <c r="F52" s="381"/>
    </row>
    <row r="54" spans="1:12" ht="18.75" x14ac:dyDescent="0.3">
      <c r="A54" s="385" t="s">
        <v>1</v>
      </c>
      <c r="B54" s="386" t="s">
        <v>85</v>
      </c>
    </row>
    <row r="55" spans="1:12" ht="18.75" x14ac:dyDescent="0.3">
      <c r="A55" s="309" t="s">
        <v>86</v>
      </c>
      <c r="B55" s="387" t="str">
        <f>B21</f>
        <v>Each  dispersible tablet contains: Rifampicin BP 75 mg and Isoniazid BP 50 mg.</v>
      </c>
    </row>
    <row r="56" spans="1:12" ht="26.25" customHeight="1" x14ac:dyDescent="0.4">
      <c r="A56" s="387" t="s">
        <v>87</v>
      </c>
      <c r="B56" s="388">
        <v>150</v>
      </c>
      <c r="C56" s="309" t="str">
        <f>B20</f>
        <v>PYRAZINAMIDE</v>
      </c>
      <c r="H56" s="367"/>
    </row>
    <row r="57" spans="1:12" ht="18.75" x14ac:dyDescent="0.3">
      <c r="A57" s="387" t="s">
        <v>88</v>
      </c>
      <c r="B57" s="389">
        <f>Uniformity!C46</f>
        <v>481.05450000000002</v>
      </c>
      <c r="H57" s="367"/>
    </row>
    <row r="58" spans="1:12" ht="19.5" customHeight="1" thickBot="1" x14ac:dyDescent="0.35">
      <c r="H58" s="367"/>
    </row>
    <row r="59" spans="1:12" s="324" customFormat="1" ht="27" customHeight="1" thickBot="1" x14ac:dyDescent="0.45">
      <c r="A59" s="335" t="s">
        <v>89</v>
      </c>
      <c r="B59" s="336">
        <v>50</v>
      </c>
      <c r="C59" s="309"/>
      <c r="D59" s="390" t="s">
        <v>90</v>
      </c>
      <c r="E59" s="391" t="s">
        <v>62</v>
      </c>
      <c r="F59" s="391" t="s">
        <v>63</v>
      </c>
      <c r="G59" s="391" t="s">
        <v>91</v>
      </c>
      <c r="H59" s="339" t="s">
        <v>92</v>
      </c>
      <c r="L59" s="325"/>
    </row>
    <row r="60" spans="1:12" s="324" customFormat="1" ht="26.25" customHeight="1" x14ac:dyDescent="0.4">
      <c r="A60" s="337" t="s">
        <v>93</v>
      </c>
      <c r="B60" s="338">
        <v>5</v>
      </c>
      <c r="C60" s="542" t="s">
        <v>94</v>
      </c>
      <c r="D60" s="504">
        <v>482.73</v>
      </c>
      <c r="E60" s="392">
        <v>1</v>
      </c>
      <c r="F60" s="393">
        <v>43056012</v>
      </c>
      <c r="G60" s="394">
        <f>IF(ISBLANK(F60),"-",(F60/$D$50*$D$47*$B$68)*($B$57/$D$60))</f>
        <v>141.04211057401869</v>
      </c>
      <c r="H60" s="395">
        <f t="shared" ref="H60:H71" si="0">IF(ISBLANK(F60),"-",(G60/$B$56)*100)</f>
        <v>94.028073716012457</v>
      </c>
      <c r="L60" s="325"/>
    </row>
    <row r="61" spans="1:12" s="324" customFormat="1" ht="26.25" customHeight="1" x14ac:dyDescent="0.4">
      <c r="A61" s="337" t="s">
        <v>95</v>
      </c>
      <c r="B61" s="338">
        <v>50</v>
      </c>
      <c r="C61" s="543"/>
      <c r="D61" s="505"/>
      <c r="E61" s="396">
        <v>2</v>
      </c>
      <c r="F61" s="350">
        <v>43064166</v>
      </c>
      <c r="G61" s="397">
        <f>IF(ISBLANK(F61),"-",(F61/$D$50*$D$47*$B$68)*($B$57/$D$60))</f>
        <v>141.0688213007256</v>
      </c>
      <c r="H61" s="398">
        <f t="shared" si="0"/>
        <v>94.045880867150402</v>
      </c>
      <c r="L61" s="325"/>
    </row>
    <row r="62" spans="1:12" s="324" customFormat="1" ht="26.25" customHeight="1" x14ac:dyDescent="0.4">
      <c r="A62" s="337" t="s">
        <v>96</v>
      </c>
      <c r="B62" s="338">
        <v>1</v>
      </c>
      <c r="C62" s="543"/>
      <c r="D62" s="505"/>
      <c r="E62" s="396">
        <v>3</v>
      </c>
      <c r="F62" s="399">
        <v>43319377</v>
      </c>
      <c r="G62" s="397">
        <f>IF(ISBLANK(F62),"-",(F62/$D$50*$D$47*$B$68)*($B$57/$D$60))</f>
        <v>141.90483690945649</v>
      </c>
      <c r="H62" s="398">
        <f t="shared" si="0"/>
        <v>94.603224606304323</v>
      </c>
      <c r="L62" s="325"/>
    </row>
    <row r="63" spans="1:12" ht="27" customHeight="1" thickBot="1" x14ac:dyDescent="0.45">
      <c r="A63" s="337" t="s">
        <v>97</v>
      </c>
      <c r="B63" s="338">
        <v>1</v>
      </c>
      <c r="C63" s="544"/>
      <c r="D63" s="506"/>
      <c r="E63" s="400">
        <v>4</v>
      </c>
      <c r="F63" s="401"/>
      <c r="G63" s="397" t="str">
        <f>IF(ISBLANK(F63),"-",(F63/$D$50*$D$47*$B$68)*($B$57/$D$60))</f>
        <v>-</v>
      </c>
      <c r="H63" s="398" t="str">
        <f t="shared" si="0"/>
        <v>-</v>
      </c>
    </row>
    <row r="64" spans="1:12" ht="26.25" customHeight="1" x14ac:dyDescent="0.4">
      <c r="A64" s="337" t="s">
        <v>98</v>
      </c>
      <c r="B64" s="338">
        <v>1</v>
      </c>
      <c r="C64" s="542" t="s">
        <v>99</v>
      </c>
      <c r="D64" s="504">
        <v>482.45</v>
      </c>
      <c r="E64" s="392">
        <v>1</v>
      </c>
      <c r="F64" s="393">
        <v>44050320</v>
      </c>
      <c r="G64" s="394">
        <f>IF(ISBLANK(F64),"-",(F64/$D$50*$D$47*$B$68)*($B$57/$D$64))</f>
        <v>144.38299395838538</v>
      </c>
      <c r="H64" s="395">
        <f t="shared" si="0"/>
        <v>96.255329305590251</v>
      </c>
    </row>
    <row r="65" spans="1:8" ht="26.25" customHeight="1" x14ac:dyDescent="0.4">
      <c r="A65" s="337" t="s">
        <v>100</v>
      </c>
      <c r="B65" s="338">
        <v>1</v>
      </c>
      <c r="C65" s="543"/>
      <c r="D65" s="505"/>
      <c r="E65" s="396">
        <v>2</v>
      </c>
      <c r="F65" s="350">
        <v>43965137</v>
      </c>
      <c r="G65" s="397">
        <f>IF(ISBLANK(F65),"-",(F65/$D$50*$D$47*$B$68)*($B$57/$D$64))</f>
        <v>144.10379107008953</v>
      </c>
      <c r="H65" s="398">
        <f t="shared" si="0"/>
        <v>96.069194046726352</v>
      </c>
    </row>
    <row r="66" spans="1:8" ht="26.25" customHeight="1" x14ac:dyDescent="0.4">
      <c r="A66" s="337" t="s">
        <v>101</v>
      </c>
      <c r="B66" s="338">
        <v>1</v>
      </c>
      <c r="C66" s="543"/>
      <c r="D66" s="505"/>
      <c r="E66" s="396">
        <v>3</v>
      </c>
      <c r="F66" s="350">
        <v>44050412</v>
      </c>
      <c r="G66" s="397">
        <f>IF(ISBLANK(F66),"-",(F66/$D$50*$D$47*$B$68)*($B$57/$D$64))</f>
        <v>144.38329550524008</v>
      </c>
      <c r="H66" s="398">
        <f t="shared" si="0"/>
        <v>96.255530336826723</v>
      </c>
    </row>
    <row r="67" spans="1:8" ht="27" customHeight="1" thickBot="1" x14ac:dyDescent="0.45">
      <c r="A67" s="337" t="s">
        <v>102</v>
      </c>
      <c r="B67" s="338">
        <v>1</v>
      </c>
      <c r="C67" s="544"/>
      <c r="D67" s="506"/>
      <c r="E67" s="400">
        <v>4</v>
      </c>
      <c r="F67" s="401"/>
      <c r="G67" s="402" t="str">
        <f>IF(ISBLANK(F67),"-",(F67/$D$50*$D$47*$B$68)*($B$57/$D$64))</f>
        <v>-</v>
      </c>
      <c r="H67" s="403" t="str">
        <f t="shared" si="0"/>
        <v>-</v>
      </c>
    </row>
    <row r="68" spans="1:8" ht="26.25" customHeight="1" x14ac:dyDescent="0.4">
      <c r="A68" s="337" t="s">
        <v>103</v>
      </c>
      <c r="B68" s="404">
        <f>(B67/B66)*(B65/B64)*(B63/B62)*(B61/B60)*B59</f>
        <v>500</v>
      </c>
      <c r="C68" s="542" t="s">
        <v>104</v>
      </c>
      <c r="D68" s="504">
        <v>482.49</v>
      </c>
      <c r="E68" s="392">
        <v>1</v>
      </c>
      <c r="F68" s="393">
        <v>43473388</v>
      </c>
      <c r="G68" s="394">
        <f>IF(ISBLANK(F68),"-",(F68/$D$50*$D$47*$B$68)*($B$57/$D$68))</f>
        <v>142.48018058002012</v>
      </c>
      <c r="H68" s="398">
        <f t="shared" si="0"/>
        <v>94.986787053346745</v>
      </c>
    </row>
    <row r="69" spans="1:8" ht="27" customHeight="1" thickBot="1" x14ac:dyDescent="0.45">
      <c r="A69" s="383" t="s">
        <v>105</v>
      </c>
      <c r="B69" s="405">
        <f>(D47*B68)/B56*B57</f>
        <v>705.54660000000001</v>
      </c>
      <c r="C69" s="543"/>
      <c r="D69" s="505"/>
      <c r="E69" s="396">
        <v>2</v>
      </c>
      <c r="F69" s="350">
        <v>43639071</v>
      </c>
      <c r="G69" s="397">
        <f>IF(ISBLANK(F69),"-",(F69/$D$50*$D$47*$B$68)*($B$57/$D$68))</f>
        <v>143.02319194501976</v>
      </c>
      <c r="H69" s="398">
        <f t="shared" si="0"/>
        <v>95.348794630013174</v>
      </c>
    </row>
    <row r="70" spans="1:8" ht="26.25" customHeight="1" x14ac:dyDescent="0.4">
      <c r="A70" s="546" t="s">
        <v>78</v>
      </c>
      <c r="B70" s="547"/>
      <c r="C70" s="543"/>
      <c r="D70" s="505"/>
      <c r="E70" s="396">
        <v>3</v>
      </c>
      <c r="F70" s="350">
        <v>43627576</v>
      </c>
      <c r="G70" s="397">
        <f>IF(ISBLANK(F70),"-",(F70/$D$50*$D$47*$B$68)*($B$57/$D$68))</f>
        <v>142.98551810014328</v>
      </c>
      <c r="H70" s="398">
        <f t="shared" si="0"/>
        <v>95.323678733428849</v>
      </c>
    </row>
    <row r="71" spans="1:8" ht="27" customHeight="1" thickBot="1" x14ac:dyDescent="0.45">
      <c r="A71" s="548"/>
      <c r="B71" s="549"/>
      <c r="C71" s="545"/>
      <c r="D71" s="506"/>
      <c r="E71" s="400">
        <v>4</v>
      </c>
      <c r="F71" s="401"/>
      <c r="G71" s="402" t="str">
        <f>IF(ISBLANK(F71),"-",(F71/$D$50*$D$47*$B$68)*($B$57/$D$68))</f>
        <v>-</v>
      </c>
      <c r="H71" s="403" t="str">
        <f t="shared" si="0"/>
        <v>-</v>
      </c>
    </row>
    <row r="72" spans="1:8" ht="26.25" customHeight="1" x14ac:dyDescent="0.4">
      <c r="A72" s="367"/>
      <c r="B72" s="367"/>
      <c r="C72" s="367"/>
      <c r="D72" s="367"/>
      <c r="E72" s="367"/>
      <c r="F72" s="406" t="s">
        <v>71</v>
      </c>
      <c r="G72" s="407">
        <f>AVERAGE(G60:G71)</f>
        <v>142.81941554923321</v>
      </c>
      <c r="H72" s="408">
        <f>AVERAGE(H60:H71)</f>
        <v>95.21294369948879</v>
      </c>
    </row>
    <row r="73" spans="1:8" ht="26.25" customHeight="1" x14ac:dyDescent="0.4">
      <c r="C73" s="367"/>
      <c r="D73" s="367"/>
      <c r="E73" s="367"/>
      <c r="F73" s="409" t="s">
        <v>84</v>
      </c>
      <c r="G73" s="410">
        <f>STDEV(G60:G71)/G72</f>
        <v>9.1908975049547967E-3</v>
      </c>
      <c r="H73" s="410">
        <f>STDEV(H60:H71)/H72</f>
        <v>9.1908975049548019E-3</v>
      </c>
    </row>
    <row r="74" spans="1:8" ht="27" customHeight="1" thickBot="1" x14ac:dyDescent="0.45">
      <c r="A74" s="367"/>
      <c r="B74" s="367"/>
      <c r="C74" s="367"/>
      <c r="D74" s="367"/>
      <c r="E74" s="369"/>
      <c r="F74" s="411" t="s">
        <v>20</v>
      </c>
      <c r="G74" s="412">
        <f>COUNT(G60:G71)</f>
        <v>9</v>
      </c>
      <c r="H74" s="412">
        <f>COUNT(H60:H71)</f>
        <v>9</v>
      </c>
    </row>
    <row r="76" spans="1:8" ht="26.25" customHeight="1" x14ac:dyDescent="0.4">
      <c r="A76" s="320" t="s">
        <v>106</v>
      </c>
      <c r="B76" s="321" t="s">
        <v>107</v>
      </c>
      <c r="C76" s="533" t="str">
        <f>B26</f>
        <v>PYRAZINAMIDE</v>
      </c>
      <c r="D76" s="533"/>
      <c r="E76" s="309" t="s">
        <v>108</v>
      </c>
      <c r="F76" s="309"/>
      <c r="G76" s="413">
        <f>H72</f>
        <v>95.21294369948879</v>
      </c>
      <c r="H76" s="326"/>
    </row>
    <row r="77" spans="1:8" ht="18.75" x14ac:dyDescent="0.3">
      <c r="A77" s="319" t="s">
        <v>109</v>
      </c>
      <c r="B77" s="319" t="s">
        <v>110</v>
      </c>
    </row>
    <row r="78" spans="1:8" ht="18.75" x14ac:dyDescent="0.3">
      <c r="A78" s="319"/>
      <c r="B78" s="319"/>
    </row>
    <row r="79" spans="1:8" ht="26.25" customHeight="1" x14ac:dyDescent="0.4">
      <c r="A79" s="320" t="s">
        <v>4</v>
      </c>
      <c r="B79" s="551"/>
      <c r="C79" s="551"/>
    </row>
    <row r="80" spans="1:8" ht="26.25" customHeight="1" x14ac:dyDescent="0.4">
      <c r="A80" s="321" t="s">
        <v>48</v>
      </c>
      <c r="B80" s="551"/>
      <c r="C80" s="551"/>
    </row>
    <row r="81" spans="1:12" ht="27" customHeight="1" thickBot="1" x14ac:dyDescent="0.45">
      <c r="A81" s="321" t="s">
        <v>6</v>
      </c>
      <c r="B81" s="322"/>
    </row>
    <row r="82" spans="1:12" s="324" customFormat="1" ht="27" customHeight="1" thickBot="1" x14ac:dyDescent="0.45">
      <c r="A82" s="321" t="s">
        <v>49</v>
      </c>
      <c r="B82" s="323">
        <v>0</v>
      </c>
      <c r="C82" s="530" t="s">
        <v>50</v>
      </c>
      <c r="D82" s="531"/>
      <c r="E82" s="531"/>
      <c r="F82" s="531"/>
      <c r="G82" s="532"/>
      <c r="I82" s="325"/>
      <c r="J82" s="325"/>
      <c r="K82" s="325"/>
      <c r="L82" s="325"/>
    </row>
    <row r="83" spans="1:12" s="324" customFormat="1" ht="19.5" customHeight="1" thickBot="1" x14ac:dyDescent="0.35">
      <c r="A83" s="321" t="s">
        <v>51</v>
      </c>
      <c r="B83" s="326">
        <f>B81-B82</f>
        <v>0</v>
      </c>
      <c r="C83" s="327"/>
      <c r="D83" s="327"/>
      <c r="E83" s="327"/>
      <c r="F83" s="327"/>
      <c r="G83" s="328"/>
      <c r="I83" s="325"/>
      <c r="J83" s="325"/>
      <c r="K83" s="325"/>
      <c r="L83" s="325"/>
    </row>
    <row r="84" spans="1:12" s="324" customFormat="1" ht="27" customHeight="1" thickBot="1" x14ac:dyDescent="0.45">
      <c r="A84" s="321" t="s">
        <v>52</v>
      </c>
      <c r="B84" s="329"/>
      <c r="C84" s="518" t="s">
        <v>111</v>
      </c>
      <c r="D84" s="519"/>
      <c r="E84" s="519"/>
      <c r="F84" s="519"/>
      <c r="G84" s="519"/>
      <c r="H84" s="520"/>
      <c r="I84" s="325"/>
      <c r="J84" s="325"/>
      <c r="K84" s="325"/>
      <c r="L84" s="325"/>
    </row>
    <row r="85" spans="1:12" s="324" customFormat="1" ht="27" customHeight="1" thickBot="1" x14ac:dyDescent="0.45">
      <c r="A85" s="321" t="s">
        <v>54</v>
      </c>
      <c r="B85" s="329"/>
      <c r="C85" s="518" t="s">
        <v>112</v>
      </c>
      <c r="D85" s="519"/>
      <c r="E85" s="519"/>
      <c r="F85" s="519"/>
      <c r="G85" s="519"/>
      <c r="H85" s="520"/>
      <c r="I85" s="325"/>
      <c r="J85" s="325"/>
      <c r="K85" s="325"/>
      <c r="L85" s="325"/>
    </row>
    <row r="86" spans="1:12" s="324" customFormat="1" ht="18.75" x14ac:dyDescent="0.3">
      <c r="A86" s="321"/>
      <c r="B86" s="332"/>
      <c r="C86" s="333"/>
      <c r="D86" s="333"/>
      <c r="E86" s="333"/>
      <c r="F86" s="333"/>
      <c r="G86" s="333"/>
      <c r="H86" s="333"/>
      <c r="I86" s="325"/>
      <c r="J86" s="325"/>
      <c r="K86" s="325"/>
      <c r="L86" s="325"/>
    </row>
    <row r="87" spans="1:12" s="324" customFormat="1" ht="18.75" x14ac:dyDescent="0.3">
      <c r="A87" s="321" t="s">
        <v>56</v>
      </c>
      <c r="B87" s="334" t="e">
        <f>B84/B85</f>
        <v>#DIV/0!</v>
      </c>
      <c r="C87" s="309" t="s">
        <v>57</v>
      </c>
      <c r="D87" s="309"/>
      <c r="E87" s="309"/>
      <c r="F87" s="309"/>
      <c r="G87" s="309"/>
      <c r="I87" s="325"/>
      <c r="J87" s="325"/>
      <c r="K87" s="325"/>
      <c r="L87" s="325"/>
    </row>
    <row r="88" spans="1:12" ht="19.5" customHeight="1" thickBot="1" x14ac:dyDescent="0.35">
      <c r="A88" s="319"/>
      <c r="B88" s="319"/>
    </row>
    <row r="89" spans="1:12" ht="27" customHeight="1" thickBot="1" x14ac:dyDescent="0.45">
      <c r="A89" s="335" t="s">
        <v>58</v>
      </c>
      <c r="B89" s="336"/>
      <c r="D89" s="414" t="s">
        <v>59</v>
      </c>
      <c r="E89" s="415"/>
      <c r="F89" s="534" t="s">
        <v>60</v>
      </c>
      <c r="G89" s="536"/>
    </row>
    <row r="90" spans="1:12" ht="27" customHeight="1" thickBot="1" x14ac:dyDescent="0.45">
      <c r="A90" s="337" t="s">
        <v>61</v>
      </c>
      <c r="B90" s="338"/>
      <c r="C90" s="416" t="s">
        <v>62</v>
      </c>
      <c r="D90" s="340" t="s">
        <v>63</v>
      </c>
      <c r="E90" s="341" t="s">
        <v>64</v>
      </c>
      <c r="F90" s="340" t="s">
        <v>63</v>
      </c>
      <c r="G90" s="417" t="s">
        <v>64</v>
      </c>
      <c r="I90" s="343" t="s">
        <v>65</v>
      </c>
    </row>
    <row r="91" spans="1:12" ht="26.25" customHeight="1" x14ac:dyDescent="0.4">
      <c r="A91" s="337" t="s">
        <v>66</v>
      </c>
      <c r="B91" s="338"/>
      <c r="C91" s="418">
        <v>1</v>
      </c>
      <c r="D91" s="345"/>
      <c r="E91" s="346" t="str">
        <f>IF(ISBLANK(D91),"-",$D$101/$D$98*D91)</f>
        <v>-</v>
      </c>
      <c r="F91" s="345"/>
      <c r="G91" s="347" t="str">
        <f>IF(ISBLANK(F91),"-",$D$101/$F$98*F91)</f>
        <v>-</v>
      </c>
      <c r="I91" s="348"/>
    </row>
    <row r="92" spans="1:12" ht="26.25" customHeight="1" x14ac:dyDescent="0.4">
      <c r="A92" s="337" t="s">
        <v>67</v>
      </c>
      <c r="B92" s="338">
        <v>1</v>
      </c>
      <c r="C92" s="367">
        <v>2</v>
      </c>
      <c r="D92" s="350"/>
      <c r="E92" s="351" t="str">
        <f>IF(ISBLANK(D92),"-",$D$101/$D$98*D92)</f>
        <v>-</v>
      </c>
      <c r="F92" s="350"/>
      <c r="G92" s="352" t="str">
        <f>IF(ISBLANK(F92),"-",$D$101/$F$98*F92)</f>
        <v>-</v>
      </c>
      <c r="I92" s="537" t="e">
        <f>ABS((F96/D96*D95)-F95)/D95</f>
        <v>#DIV/0!</v>
      </c>
    </row>
    <row r="93" spans="1:12" ht="26.25" customHeight="1" x14ac:dyDescent="0.4">
      <c r="A93" s="337" t="s">
        <v>68</v>
      </c>
      <c r="B93" s="338">
        <v>1</v>
      </c>
      <c r="C93" s="367">
        <v>3</v>
      </c>
      <c r="D93" s="350"/>
      <c r="E93" s="351" t="str">
        <f>IF(ISBLANK(D93),"-",$D$101/$D$98*D93)</f>
        <v>-</v>
      </c>
      <c r="F93" s="350"/>
      <c r="G93" s="352" t="str">
        <f>IF(ISBLANK(F93),"-",$D$101/$F$98*F93)</f>
        <v>-</v>
      </c>
      <c r="I93" s="537"/>
    </row>
    <row r="94" spans="1:12" ht="27" customHeight="1" thickBot="1" x14ac:dyDescent="0.45">
      <c r="A94" s="337" t="s">
        <v>69</v>
      </c>
      <c r="B94" s="338">
        <v>1</v>
      </c>
      <c r="C94" s="419">
        <v>4</v>
      </c>
      <c r="D94" s="354"/>
      <c r="E94" s="355" t="str">
        <f>IF(ISBLANK(D94),"-",$D$101/$D$98*D94)</f>
        <v>-</v>
      </c>
      <c r="F94" s="420"/>
      <c r="G94" s="356" t="str">
        <f>IF(ISBLANK(F94),"-",$D$101/$F$98*F94)</f>
        <v>-</v>
      </c>
      <c r="I94" s="357"/>
    </row>
    <row r="95" spans="1:12" ht="27" customHeight="1" thickBot="1" x14ac:dyDescent="0.45">
      <c r="A95" s="337" t="s">
        <v>70</v>
      </c>
      <c r="B95" s="338">
        <v>1</v>
      </c>
      <c r="C95" s="321" t="s">
        <v>71</v>
      </c>
      <c r="D95" s="421" t="e">
        <f>AVERAGE(D91:D94)</f>
        <v>#DIV/0!</v>
      </c>
      <c r="E95" s="360" t="e">
        <f>AVERAGE(E91:E94)</f>
        <v>#DIV/0!</v>
      </c>
      <c r="F95" s="422" t="e">
        <f>AVERAGE(F91:F94)</f>
        <v>#DIV/0!</v>
      </c>
      <c r="G95" s="423" t="e">
        <f>AVERAGE(G91:G94)</f>
        <v>#DIV/0!</v>
      </c>
    </row>
    <row r="96" spans="1:12" ht="26.25" customHeight="1" x14ac:dyDescent="0.4">
      <c r="A96" s="337" t="s">
        <v>72</v>
      </c>
      <c r="B96" s="322">
        <v>1</v>
      </c>
      <c r="C96" s="424" t="s">
        <v>113</v>
      </c>
      <c r="D96" s="425"/>
      <c r="E96" s="309"/>
      <c r="F96" s="364"/>
    </row>
    <row r="97" spans="1:10" ht="26.25" customHeight="1" x14ac:dyDescent="0.4">
      <c r="A97" s="337" t="s">
        <v>74</v>
      </c>
      <c r="B97" s="322">
        <v>1</v>
      </c>
      <c r="C97" s="426" t="s">
        <v>114</v>
      </c>
      <c r="D97" s="427" t="e">
        <f>D96*$B$87</f>
        <v>#DIV/0!</v>
      </c>
      <c r="E97" s="367"/>
      <c r="F97" s="366" t="e">
        <f>F96*$B$87</f>
        <v>#DIV/0!</v>
      </c>
    </row>
    <row r="98" spans="1:10" ht="19.5" customHeight="1" thickBot="1" x14ac:dyDescent="0.35">
      <c r="A98" s="337" t="s">
        <v>76</v>
      </c>
      <c r="B98" s="367" t="e">
        <f>(B97/B96)*(B95/B94)*(B93/B92)*(B91/B90)*B89</f>
        <v>#DIV/0!</v>
      </c>
      <c r="C98" s="426" t="s">
        <v>115</v>
      </c>
      <c r="D98" s="428" t="e">
        <f>D97*$B$83/100</f>
        <v>#DIV/0!</v>
      </c>
      <c r="E98" s="369"/>
      <c r="F98" s="368" t="e">
        <f>F97*$B$83/100</f>
        <v>#DIV/0!</v>
      </c>
    </row>
    <row r="99" spans="1:10" ht="19.5" customHeight="1" thickBot="1" x14ac:dyDescent="0.35">
      <c r="A99" s="538" t="s">
        <v>78</v>
      </c>
      <c r="B99" s="552"/>
      <c r="C99" s="426" t="s">
        <v>116</v>
      </c>
      <c r="D99" s="429" t="e">
        <f>D98/$B$98</f>
        <v>#DIV/0!</v>
      </c>
      <c r="E99" s="369"/>
      <c r="F99" s="372" t="e">
        <f>F98/$B$98</f>
        <v>#DIV/0!</v>
      </c>
      <c r="H99" s="362"/>
    </row>
    <row r="100" spans="1:10" ht="19.5" customHeight="1" thickBot="1" x14ac:dyDescent="0.35">
      <c r="A100" s="540"/>
      <c r="B100" s="553"/>
      <c r="C100" s="426" t="s">
        <v>80</v>
      </c>
      <c r="D100" s="430" t="e">
        <f>$B$56/$B$116</f>
        <v>#DIV/0!</v>
      </c>
      <c r="F100" s="377"/>
      <c r="G100" s="431"/>
      <c r="H100" s="362"/>
    </row>
    <row r="101" spans="1:10" ht="18.75" x14ac:dyDescent="0.3">
      <c r="C101" s="426" t="s">
        <v>81</v>
      </c>
      <c r="D101" s="427" t="e">
        <f>D100*$B$98</f>
        <v>#DIV/0!</v>
      </c>
      <c r="F101" s="377"/>
      <c r="H101" s="362"/>
    </row>
    <row r="102" spans="1:10" ht="19.5" customHeight="1" thickBot="1" x14ac:dyDescent="0.35">
      <c r="C102" s="432" t="s">
        <v>82</v>
      </c>
      <c r="D102" s="433" t="e">
        <f>D101/B34</f>
        <v>#DIV/0!</v>
      </c>
      <c r="F102" s="381"/>
      <c r="H102" s="362"/>
      <c r="J102" s="434"/>
    </row>
    <row r="103" spans="1:10" ht="18.75" x14ac:dyDescent="0.3">
      <c r="C103" s="435" t="s">
        <v>117</v>
      </c>
      <c r="D103" s="436" t="e">
        <f>AVERAGE(E91:E94,G91:G94)</f>
        <v>#DIV/0!</v>
      </c>
      <c r="F103" s="381"/>
      <c r="G103" s="431"/>
      <c r="H103" s="362"/>
      <c r="J103" s="437"/>
    </row>
    <row r="104" spans="1:10" ht="18.75" x14ac:dyDescent="0.3">
      <c r="C104" s="409" t="s">
        <v>84</v>
      </c>
      <c r="D104" s="438" t="e">
        <f>STDEV(E91:E94,G91:G94)/D103</f>
        <v>#DIV/0!</v>
      </c>
      <c r="F104" s="381"/>
      <c r="H104" s="362"/>
      <c r="J104" s="437"/>
    </row>
    <row r="105" spans="1:10" ht="19.5" customHeight="1" thickBot="1" x14ac:dyDescent="0.35">
      <c r="C105" s="411" t="s">
        <v>20</v>
      </c>
      <c r="D105" s="439">
        <f>COUNT(E91:E94,G91:G94)</f>
        <v>0</v>
      </c>
      <c r="F105" s="381"/>
      <c r="H105" s="362"/>
      <c r="J105" s="437"/>
    </row>
    <row r="106" spans="1:10" ht="19.5" customHeight="1" thickBot="1" x14ac:dyDescent="0.35">
      <c r="A106" s="385"/>
      <c r="B106" s="385"/>
      <c r="C106" s="385"/>
      <c r="D106" s="385"/>
      <c r="E106" s="385"/>
    </row>
    <row r="107" spans="1:10" ht="27" customHeight="1" thickBot="1" x14ac:dyDescent="0.45">
      <c r="A107" s="335" t="s">
        <v>118</v>
      </c>
      <c r="B107" s="336"/>
      <c r="C107" s="391" t="s">
        <v>119</v>
      </c>
      <c r="D107" s="391" t="s">
        <v>63</v>
      </c>
      <c r="E107" s="391" t="s">
        <v>120</v>
      </c>
      <c r="F107" s="440" t="s">
        <v>121</v>
      </c>
    </row>
    <row r="108" spans="1:10" ht="26.25" customHeight="1" x14ac:dyDescent="0.4">
      <c r="A108" s="337" t="s">
        <v>122</v>
      </c>
      <c r="B108" s="338"/>
      <c r="C108" s="392">
        <v>1</v>
      </c>
      <c r="D108" s="441"/>
      <c r="E108" s="442" t="str">
        <f t="shared" ref="E108:E113" si="1">IF(ISBLANK(D108),"-",D108/$D$103*$D$100*$B$116)</f>
        <v>-</v>
      </c>
      <c r="F108" s="443" t="str">
        <f t="shared" ref="F108:F113" si="2">IF(ISBLANK(D108), "-", (E108/$B$56)*100)</f>
        <v>-</v>
      </c>
    </row>
    <row r="109" spans="1:10" ht="26.25" customHeight="1" x14ac:dyDescent="0.4">
      <c r="A109" s="337" t="s">
        <v>95</v>
      </c>
      <c r="B109" s="338"/>
      <c r="C109" s="396">
        <v>2</v>
      </c>
      <c r="D109" s="444"/>
      <c r="E109" s="445" t="str">
        <f t="shared" si="1"/>
        <v>-</v>
      </c>
      <c r="F109" s="446" t="str">
        <f t="shared" si="2"/>
        <v>-</v>
      </c>
    </row>
    <row r="110" spans="1:10" ht="26.25" customHeight="1" x14ac:dyDescent="0.4">
      <c r="A110" s="337" t="s">
        <v>96</v>
      </c>
      <c r="B110" s="338">
        <v>1</v>
      </c>
      <c r="C110" s="396">
        <v>3</v>
      </c>
      <c r="D110" s="444"/>
      <c r="E110" s="445" t="str">
        <f t="shared" si="1"/>
        <v>-</v>
      </c>
      <c r="F110" s="446" t="str">
        <f t="shared" si="2"/>
        <v>-</v>
      </c>
    </row>
    <row r="111" spans="1:10" ht="26.25" customHeight="1" x14ac:dyDescent="0.4">
      <c r="A111" s="337" t="s">
        <v>97</v>
      </c>
      <c r="B111" s="338">
        <v>1</v>
      </c>
      <c r="C111" s="396">
        <v>4</v>
      </c>
      <c r="D111" s="444"/>
      <c r="E111" s="445" t="str">
        <f t="shared" si="1"/>
        <v>-</v>
      </c>
      <c r="F111" s="446" t="str">
        <f t="shared" si="2"/>
        <v>-</v>
      </c>
    </row>
    <row r="112" spans="1:10" ht="26.25" customHeight="1" x14ac:dyDescent="0.4">
      <c r="A112" s="337" t="s">
        <v>98</v>
      </c>
      <c r="B112" s="338">
        <v>1</v>
      </c>
      <c r="C112" s="396">
        <v>5</v>
      </c>
      <c r="D112" s="444"/>
      <c r="E112" s="445" t="str">
        <f t="shared" si="1"/>
        <v>-</v>
      </c>
      <c r="F112" s="446" t="str">
        <f t="shared" si="2"/>
        <v>-</v>
      </c>
    </row>
    <row r="113" spans="1:10" ht="27" customHeight="1" thickBot="1" x14ac:dyDescent="0.45">
      <c r="A113" s="337" t="s">
        <v>100</v>
      </c>
      <c r="B113" s="338">
        <v>1</v>
      </c>
      <c r="C113" s="400">
        <v>6</v>
      </c>
      <c r="D113" s="447"/>
      <c r="E113" s="448" t="str">
        <f t="shared" si="1"/>
        <v>-</v>
      </c>
      <c r="F113" s="449" t="str">
        <f t="shared" si="2"/>
        <v>-</v>
      </c>
    </row>
    <row r="114" spans="1:10" ht="27" customHeight="1" thickBot="1" x14ac:dyDescent="0.45">
      <c r="A114" s="337" t="s">
        <v>101</v>
      </c>
      <c r="B114" s="338">
        <v>1</v>
      </c>
      <c r="C114" s="450"/>
      <c r="D114" s="367"/>
      <c r="E114" s="309"/>
      <c r="F114" s="446"/>
    </row>
    <row r="115" spans="1:10" ht="26.25" customHeight="1" x14ac:dyDescent="0.4">
      <c r="A115" s="337" t="s">
        <v>102</v>
      </c>
      <c r="B115" s="338">
        <v>1</v>
      </c>
      <c r="C115" s="450"/>
      <c r="D115" s="451" t="s">
        <v>71</v>
      </c>
      <c r="E115" s="452" t="e">
        <f>AVERAGE(E108:E113)</f>
        <v>#DIV/0!</v>
      </c>
      <c r="F115" s="453" t="e">
        <f>AVERAGE(F108:F113)</f>
        <v>#DIV/0!</v>
      </c>
    </row>
    <row r="116" spans="1:10" ht="27" customHeight="1" thickBot="1" x14ac:dyDescent="0.45">
      <c r="A116" s="337" t="s">
        <v>103</v>
      </c>
      <c r="B116" s="349" t="e">
        <f>(B115/B114)*(B113/B112)*(B111/B110)*(B109/B108)*B107</f>
        <v>#DIV/0!</v>
      </c>
      <c r="C116" s="454"/>
      <c r="D116" s="455" t="s">
        <v>84</v>
      </c>
      <c r="E116" s="410" t="e">
        <f>STDEV(E108:E113)/E115</f>
        <v>#DIV/0!</v>
      </c>
      <c r="F116" s="456" t="e">
        <f>STDEV(F108:F113)/F115</f>
        <v>#DIV/0!</v>
      </c>
      <c r="I116" s="309"/>
    </row>
    <row r="117" spans="1:10" ht="27" customHeight="1" thickBot="1" x14ac:dyDescent="0.45">
      <c r="A117" s="538" t="s">
        <v>78</v>
      </c>
      <c r="B117" s="539"/>
      <c r="C117" s="457"/>
      <c r="D117" s="411" t="s">
        <v>20</v>
      </c>
      <c r="E117" s="458">
        <f>COUNT(E108:E113)</f>
        <v>0</v>
      </c>
      <c r="F117" s="459">
        <f>COUNT(F108:F113)</f>
        <v>0</v>
      </c>
      <c r="I117" s="309"/>
      <c r="J117" s="437"/>
    </row>
    <row r="118" spans="1:10" ht="26.25" customHeight="1" thickBot="1" x14ac:dyDescent="0.35">
      <c r="A118" s="540"/>
      <c r="B118" s="541"/>
      <c r="C118" s="309"/>
      <c r="D118" s="460"/>
      <c r="E118" s="554" t="s">
        <v>123</v>
      </c>
      <c r="F118" s="555"/>
      <c r="G118" s="309"/>
      <c r="H118" s="309"/>
      <c r="I118" s="309"/>
    </row>
    <row r="119" spans="1:10" ht="25.5" customHeight="1" x14ac:dyDescent="0.4">
      <c r="A119" s="461"/>
      <c r="B119" s="333"/>
      <c r="C119" s="309"/>
      <c r="D119" s="455" t="s">
        <v>124</v>
      </c>
      <c r="E119" s="462">
        <f>MIN(E108:E113)</f>
        <v>0</v>
      </c>
      <c r="F119" s="463">
        <f>MIN(F108:F113)</f>
        <v>0</v>
      </c>
      <c r="G119" s="309"/>
      <c r="H119" s="309"/>
      <c r="I119" s="309"/>
    </row>
    <row r="120" spans="1:10" ht="24" customHeight="1" thickBot="1" x14ac:dyDescent="0.45">
      <c r="A120" s="461"/>
      <c r="B120" s="333"/>
      <c r="C120" s="309"/>
      <c r="D120" s="378" t="s">
        <v>125</v>
      </c>
      <c r="E120" s="464">
        <f>MAX(E108:E113)</f>
        <v>0</v>
      </c>
      <c r="F120" s="465">
        <f>MAX(F108:F113)</f>
        <v>0</v>
      </c>
      <c r="G120" s="309"/>
      <c r="H120" s="309"/>
      <c r="I120" s="309"/>
    </row>
    <row r="121" spans="1:10" ht="27" customHeight="1" x14ac:dyDescent="0.3">
      <c r="A121" s="461"/>
      <c r="B121" s="333"/>
      <c r="C121" s="309"/>
      <c r="D121" s="309"/>
      <c r="E121" s="309"/>
      <c r="F121" s="367"/>
      <c r="G121" s="309"/>
      <c r="H121" s="309"/>
      <c r="I121" s="309"/>
    </row>
    <row r="122" spans="1:10" ht="25.5" customHeight="1" x14ac:dyDescent="0.3">
      <c r="A122" s="461"/>
      <c r="B122" s="333"/>
      <c r="C122" s="309"/>
      <c r="D122" s="309"/>
      <c r="E122" s="309"/>
      <c r="F122" s="367"/>
      <c r="G122" s="309"/>
      <c r="H122" s="309"/>
      <c r="I122" s="309"/>
    </row>
    <row r="123" spans="1:10" ht="18.75" x14ac:dyDescent="0.3">
      <c r="A123" s="461"/>
      <c r="B123" s="333"/>
      <c r="C123" s="309"/>
      <c r="D123" s="309"/>
      <c r="E123" s="309"/>
      <c r="F123" s="367"/>
      <c r="G123" s="309"/>
      <c r="H123" s="309"/>
      <c r="I123" s="309"/>
    </row>
    <row r="124" spans="1:10" ht="45.75" customHeight="1" x14ac:dyDescent="0.65">
      <c r="A124" s="320" t="s">
        <v>106</v>
      </c>
      <c r="B124" s="321" t="s">
        <v>126</v>
      </c>
      <c r="C124" s="533" t="str">
        <f>B26</f>
        <v>PYRAZINAMIDE</v>
      </c>
      <c r="D124" s="533"/>
      <c r="E124" s="309" t="s">
        <v>127</v>
      </c>
      <c r="F124" s="309"/>
      <c r="G124" s="466" t="e">
        <f>F115</f>
        <v>#DIV/0!</v>
      </c>
      <c r="H124" s="309"/>
      <c r="I124" s="309"/>
    </row>
    <row r="125" spans="1:10" ht="45.75" customHeight="1" x14ac:dyDescent="0.65">
      <c r="A125" s="320"/>
      <c r="B125" s="321" t="s">
        <v>128</v>
      </c>
      <c r="C125" s="321" t="s">
        <v>129</v>
      </c>
      <c r="D125" s="466">
        <f>MIN(F108:F113)</f>
        <v>0</v>
      </c>
      <c r="E125" s="321" t="s">
        <v>130</v>
      </c>
      <c r="F125" s="466">
        <f>MAX(F108:F113)</f>
        <v>0</v>
      </c>
      <c r="G125" s="467"/>
      <c r="H125" s="309"/>
      <c r="I125" s="309"/>
    </row>
    <row r="126" spans="1:10" ht="19.5" customHeight="1" thickBot="1" x14ac:dyDescent="0.35">
      <c r="A126" s="468"/>
      <c r="B126" s="468"/>
      <c r="C126" s="469"/>
      <c r="D126" s="469"/>
      <c r="E126" s="469"/>
      <c r="F126" s="469"/>
      <c r="G126" s="469"/>
      <c r="H126" s="469"/>
    </row>
    <row r="127" spans="1:10" ht="18.75" x14ac:dyDescent="0.3">
      <c r="B127" s="550" t="s">
        <v>26</v>
      </c>
      <c r="C127" s="550"/>
      <c r="E127" s="416" t="s">
        <v>27</v>
      </c>
      <c r="F127" s="470"/>
      <c r="G127" s="550" t="s">
        <v>28</v>
      </c>
      <c r="H127" s="550"/>
    </row>
    <row r="128" spans="1:10" ht="69.95" customHeight="1" x14ac:dyDescent="0.3">
      <c r="A128" s="320" t="s">
        <v>29</v>
      </c>
      <c r="B128" s="471"/>
      <c r="C128" s="471"/>
      <c r="E128" s="471"/>
      <c r="F128" s="309"/>
      <c r="G128" s="471"/>
      <c r="H128" s="471"/>
    </row>
    <row r="129" spans="1:9" ht="69.95" customHeight="1" x14ac:dyDescent="0.3">
      <c r="A129" s="320" t="s">
        <v>30</v>
      </c>
      <c r="B129" s="472"/>
      <c r="C129" s="472"/>
      <c r="E129" s="472"/>
      <c r="F129" s="309"/>
      <c r="G129" s="473"/>
      <c r="H129" s="473"/>
    </row>
    <row r="130" spans="1:9" ht="18.75" x14ac:dyDescent="0.3">
      <c r="A130" s="367"/>
      <c r="B130" s="367"/>
      <c r="C130" s="367"/>
      <c r="D130" s="367"/>
      <c r="E130" s="367"/>
      <c r="F130" s="369"/>
      <c r="G130" s="367"/>
      <c r="H130" s="367"/>
      <c r="I130" s="309"/>
    </row>
    <row r="131" spans="1:9" ht="18.75" x14ac:dyDescent="0.3">
      <c r="A131" s="367"/>
      <c r="B131" s="367"/>
      <c r="C131" s="367"/>
      <c r="D131" s="367"/>
      <c r="E131" s="367"/>
      <c r="F131" s="369"/>
      <c r="G131" s="367"/>
      <c r="H131" s="367"/>
      <c r="I131" s="309"/>
    </row>
    <row r="132" spans="1:9" ht="18.75" x14ac:dyDescent="0.3">
      <c r="A132" s="367"/>
      <c r="B132" s="367"/>
      <c r="C132" s="367"/>
      <c r="D132" s="367"/>
      <c r="E132" s="367"/>
      <c r="F132" s="369"/>
      <c r="G132" s="367"/>
      <c r="H132" s="367"/>
      <c r="I132" s="309"/>
    </row>
    <row r="133" spans="1:9" ht="18.75" x14ac:dyDescent="0.3">
      <c r="A133" s="367"/>
      <c r="B133" s="367"/>
      <c r="C133" s="367"/>
      <c r="D133" s="367"/>
      <c r="E133" s="367"/>
      <c r="F133" s="369"/>
      <c r="G133" s="367"/>
      <c r="H133" s="367"/>
      <c r="I133" s="309"/>
    </row>
    <row r="134" spans="1:9" ht="18.75" x14ac:dyDescent="0.3">
      <c r="A134" s="367"/>
      <c r="B134" s="367"/>
      <c r="C134" s="367"/>
      <c r="D134" s="367"/>
      <c r="E134" s="367"/>
      <c r="F134" s="369"/>
      <c r="G134" s="367"/>
      <c r="H134" s="367"/>
      <c r="I134" s="309"/>
    </row>
    <row r="135" spans="1:9" ht="18.75" x14ac:dyDescent="0.3">
      <c r="A135" s="367"/>
      <c r="B135" s="367"/>
      <c r="C135" s="367"/>
      <c r="D135" s="367"/>
      <c r="E135" s="367"/>
      <c r="F135" s="369"/>
      <c r="G135" s="367"/>
      <c r="H135" s="367"/>
      <c r="I135" s="309"/>
    </row>
    <row r="136" spans="1:9" ht="18.75" x14ac:dyDescent="0.3">
      <c r="A136" s="367"/>
      <c r="B136" s="367"/>
      <c r="C136" s="367"/>
      <c r="D136" s="367"/>
      <c r="E136" s="367"/>
      <c r="F136" s="369"/>
      <c r="G136" s="367"/>
      <c r="H136" s="367"/>
      <c r="I136" s="309"/>
    </row>
    <row r="137" spans="1:9" ht="18.75" x14ac:dyDescent="0.3">
      <c r="A137" s="367"/>
      <c r="B137" s="367"/>
      <c r="C137" s="367"/>
      <c r="D137" s="367"/>
      <c r="E137" s="367"/>
      <c r="F137" s="369"/>
      <c r="G137" s="367"/>
      <c r="H137" s="367"/>
      <c r="I137" s="309"/>
    </row>
    <row r="138" spans="1:9" ht="18.75" x14ac:dyDescent="0.3">
      <c r="A138" s="367"/>
      <c r="B138" s="367"/>
      <c r="C138" s="367"/>
      <c r="D138" s="367"/>
      <c r="E138" s="367"/>
      <c r="F138" s="369"/>
      <c r="G138" s="367"/>
      <c r="H138" s="367"/>
      <c r="I138" s="309"/>
    </row>
    <row r="250" spans="1:1" x14ac:dyDescent="0.25">
      <c r="A250" s="30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F4"/>
  <sheetViews>
    <sheetView workbookViewId="0">
      <selection activeCell="F3" sqref="F3"/>
    </sheetView>
  </sheetViews>
  <sheetFormatPr defaultRowHeight="12.75" x14ac:dyDescent="0.2"/>
  <cols>
    <col min="1" max="16384" width="9.140625" style="564"/>
  </cols>
  <sheetData>
    <row r="1" spans="6:6" x14ac:dyDescent="0.2">
      <c r="F1" s="564">
        <v>6.7814800000000002</v>
      </c>
    </row>
    <row r="2" spans="6:6" x14ac:dyDescent="0.2">
      <c r="F2" s="564">
        <v>5.8642300000000001</v>
      </c>
    </row>
    <row r="3" spans="6:6" x14ac:dyDescent="0.2">
      <c r="F3" s="564">
        <f>F1-F2</f>
        <v>0.91725000000000012</v>
      </c>
    </row>
    <row r="4" spans="6:6" x14ac:dyDescent="0.2">
      <c r="F4" s="565">
        <f>F3/F1</f>
        <v>0.13525808525572591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Uniformity</vt:lpstr>
      <vt:lpstr>RIF SST</vt:lpstr>
      <vt:lpstr>Rifampicin</vt:lpstr>
      <vt:lpstr>ISO SST</vt:lpstr>
      <vt:lpstr>Isoniazid</vt:lpstr>
      <vt:lpstr>PYR SST</vt:lpstr>
      <vt:lpstr>Pyrazinamide</vt:lpstr>
      <vt:lpstr>Friability</vt:lpstr>
      <vt:lpstr>'ISO SST'!Print_Area</vt:lpstr>
      <vt:lpstr>Isoniazid!Print_Area</vt:lpstr>
      <vt:lpstr>'PYR SST'!Print_Area</vt:lpstr>
      <vt:lpstr>Pyrazinamide!Print_Area</vt:lpstr>
      <vt:lpstr>'RIF SST'!Print_Area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2018-01-09T13:38:42Z</cp:lastPrinted>
  <dcterms:created xsi:type="dcterms:W3CDTF">2005-07-05T10:19:27Z</dcterms:created>
  <dcterms:modified xsi:type="dcterms:W3CDTF">2018-01-09T13:44:13Z</dcterms:modified>
</cp:coreProperties>
</file>