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588" windowWidth="20772" windowHeight="11388" activeTab="4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21" i="5" l="1"/>
  <c r="B53" i="6" l="1"/>
  <c r="E51" i="6"/>
  <c r="D51" i="6"/>
  <c r="C51" i="6"/>
  <c r="B51" i="6"/>
  <c r="B52" i="6"/>
  <c r="B32" i="6"/>
  <c r="E30" i="6"/>
  <c r="D30" i="6"/>
  <c r="C30" i="6"/>
  <c r="B30" i="6"/>
  <c r="B31" i="6"/>
  <c r="B53" i="5"/>
  <c r="E51" i="5"/>
  <c r="D51" i="5"/>
  <c r="C51" i="5"/>
  <c r="B51" i="5"/>
  <c r="B52" i="5"/>
  <c r="B32" i="5"/>
  <c r="E30" i="5"/>
  <c r="D30" i="5"/>
  <c r="C30" i="5"/>
  <c r="B30" i="5"/>
  <c r="B31" i="5"/>
  <c r="C124" i="4"/>
  <c r="B116" i="4"/>
  <c r="D100" i="4"/>
  <c r="B98" i="4"/>
  <c r="F95" i="4"/>
  <c r="D95" i="4"/>
  <c r="I92" i="4"/>
  <c r="B87" i="4"/>
  <c r="F97" i="4"/>
  <c r="B83" i="4"/>
  <c r="F98" i="4"/>
  <c r="B79" i="4"/>
  <c r="C76" i="4"/>
  <c r="B68" i="4"/>
  <c r="B69" i="4"/>
  <c r="C56" i="4"/>
  <c r="B55" i="4"/>
  <c r="B45" i="4"/>
  <c r="D48" i="4"/>
  <c r="F42" i="4"/>
  <c r="D42" i="4"/>
  <c r="I39" i="4"/>
  <c r="B34" i="4"/>
  <c r="F44" i="4"/>
  <c r="B30" i="4"/>
  <c r="F45" i="4"/>
  <c r="C124" i="3"/>
  <c r="B116" i="3"/>
  <c r="D100" i="3"/>
  <c r="B98" i="3"/>
  <c r="D101" i="3"/>
  <c r="F95" i="3"/>
  <c r="D95" i="3"/>
  <c r="I92" i="3"/>
  <c r="B87" i="3"/>
  <c r="F97" i="3"/>
  <c r="B83" i="3"/>
  <c r="B81" i="3"/>
  <c r="B80" i="3"/>
  <c r="B79" i="3"/>
  <c r="C76" i="3"/>
  <c r="B68" i="3"/>
  <c r="C56" i="3"/>
  <c r="B55" i="3"/>
  <c r="B45" i="3"/>
  <c r="D48" i="3"/>
  <c r="F42" i="3"/>
  <c r="D42" i="3"/>
  <c r="I39" i="3"/>
  <c r="B34" i="3"/>
  <c r="B30" i="3"/>
  <c r="D50" i="2"/>
  <c r="C49" i="2"/>
  <c r="B49" i="2"/>
  <c r="C46" i="2"/>
  <c r="B57" i="4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D101" i="4"/>
  <c r="D97" i="4"/>
  <c r="D98" i="4"/>
  <c r="E93" i="4"/>
  <c r="D49" i="3"/>
  <c r="F44" i="3"/>
  <c r="F45" i="3"/>
  <c r="G40" i="3"/>
  <c r="D44" i="3"/>
  <c r="D45" i="3"/>
  <c r="F98" i="3"/>
  <c r="F99" i="3"/>
  <c r="D102" i="3"/>
  <c r="G91" i="3"/>
  <c r="D24" i="2"/>
  <c r="D28" i="2"/>
  <c r="D32" i="2"/>
  <c r="D36" i="2"/>
  <c r="D40" i="2"/>
  <c r="D49" i="2"/>
  <c r="B57" i="3"/>
  <c r="B69" i="3"/>
  <c r="D44" i="4"/>
  <c r="D45" i="4"/>
  <c r="E40" i="4"/>
  <c r="D49" i="4"/>
  <c r="D102" i="4"/>
  <c r="C50" i="2"/>
  <c r="D97" i="3"/>
  <c r="D98" i="3"/>
  <c r="D99" i="3"/>
  <c r="E94" i="4"/>
  <c r="G41" i="4"/>
  <c r="E39" i="4"/>
  <c r="E93" i="3"/>
  <c r="G39" i="3"/>
  <c r="E40" i="3"/>
  <c r="E41" i="3"/>
  <c r="E38" i="3"/>
  <c r="D46" i="3"/>
  <c r="E39" i="3"/>
  <c r="G38" i="3"/>
  <c r="G41" i="3"/>
  <c r="F46" i="3"/>
  <c r="G92" i="3"/>
  <c r="G93" i="3"/>
  <c r="G94" i="3"/>
  <c r="E41" i="4"/>
  <c r="E38" i="4"/>
  <c r="E91" i="3"/>
  <c r="E92" i="3"/>
  <c r="G94" i="4"/>
  <c r="E94" i="3"/>
  <c r="G95" i="3"/>
  <c r="E42" i="3"/>
  <c r="D52" i="3"/>
  <c r="G42" i="3"/>
  <c r="D50" i="3"/>
  <c r="G68" i="3"/>
  <c r="H68" i="3"/>
  <c r="E95" i="3"/>
  <c r="D105" i="3"/>
  <c r="D103" i="3"/>
  <c r="G65" i="3"/>
  <c r="H65" i="3"/>
  <c r="D51" i="3"/>
  <c r="G60" i="3"/>
  <c r="H60" i="3"/>
  <c r="G69" i="3"/>
  <c r="H69" i="3"/>
  <c r="G67" i="3"/>
  <c r="H67" i="3"/>
  <c r="G62" i="3"/>
  <c r="H62" i="3"/>
  <c r="G71" i="3"/>
  <c r="H71" i="3"/>
  <c r="G66" i="3"/>
  <c r="H66" i="3"/>
  <c r="G63" i="3"/>
  <c r="H63" i="3"/>
  <c r="G61" i="3"/>
  <c r="H61" i="3"/>
  <c r="G70" i="3"/>
  <c r="H70" i="3"/>
  <c r="G64" i="3"/>
  <c r="H64" i="3"/>
  <c r="G67" i="4"/>
  <c r="H67" i="4"/>
  <c r="G63" i="4"/>
  <c r="H63" i="4"/>
  <c r="G71" i="4"/>
  <c r="H71" i="4"/>
  <c r="E112" i="3"/>
  <c r="F112" i="3"/>
  <c r="E110" i="3"/>
  <c r="F110" i="3"/>
  <c r="E108" i="3"/>
  <c r="E113" i="3"/>
  <c r="F113" i="3"/>
  <c r="E111" i="3"/>
  <c r="F111" i="3"/>
  <c r="E109" i="3"/>
  <c r="F109" i="3"/>
  <c r="D104" i="3"/>
  <c r="G72" i="3"/>
  <c r="G73" i="3"/>
  <c r="G74" i="3"/>
  <c r="E115" i="3"/>
  <c r="E116" i="3"/>
  <c r="E119" i="3"/>
  <c r="E120" i="3"/>
  <c r="E117" i="3"/>
  <c r="F108" i="3"/>
  <c r="H74" i="3"/>
  <c r="H72" i="3"/>
  <c r="F119" i="3"/>
  <c r="F125" i="3"/>
  <c r="F120" i="3"/>
  <c r="F117" i="3"/>
  <c r="D125" i="3"/>
  <c r="F115" i="3"/>
  <c r="G76" i="3"/>
  <c r="H73" i="3"/>
  <c r="G124" i="3"/>
  <c r="F116" i="3"/>
  <c r="E42" i="4"/>
  <c r="D46" i="4"/>
  <c r="G38" i="4"/>
  <c r="G40" i="4"/>
  <c r="G39" i="4"/>
  <c r="F46" i="4"/>
  <c r="E92" i="4"/>
  <c r="G91" i="4"/>
  <c r="G92" i="4"/>
  <c r="G93" i="4"/>
  <c r="F99" i="4"/>
  <c r="D99" i="4"/>
  <c r="E91" i="4"/>
  <c r="D52" i="4"/>
  <c r="D50" i="4"/>
  <c r="G42" i="4"/>
  <c r="D103" i="4"/>
  <c r="E95" i="4"/>
  <c r="D105" i="4"/>
  <c r="G95" i="4"/>
  <c r="G68" i="4"/>
  <c r="H68" i="4"/>
  <c r="G66" i="4"/>
  <c r="H66" i="4"/>
  <c r="D51" i="4"/>
  <c r="G70" i="4"/>
  <c r="H70" i="4"/>
  <c r="G61" i="4"/>
  <c r="H61" i="4"/>
  <c r="G69" i="4"/>
  <c r="H69" i="4"/>
  <c r="G65" i="4"/>
  <c r="H65" i="4"/>
  <c r="G64" i="4"/>
  <c r="H64" i="4"/>
  <c r="G62" i="4"/>
  <c r="H62" i="4"/>
  <c r="G60" i="4"/>
  <c r="E110" i="4"/>
  <c r="F110" i="4"/>
  <c r="E111" i="4"/>
  <c r="F111" i="4"/>
  <c r="E112" i="4"/>
  <c r="F112" i="4"/>
  <c r="E108" i="4"/>
  <c r="E113" i="4"/>
  <c r="F113" i="4"/>
  <c r="E109" i="4"/>
  <c r="F109" i="4"/>
  <c r="D104" i="4"/>
  <c r="G74" i="4"/>
  <c r="G72" i="4"/>
  <c r="G73" i="4"/>
  <c r="H60" i="4"/>
  <c r="F108" i="4"/>
  <c r="E115" i="4"/>
  <c r="E116" i="4"/>
  <c r="E120" i="4"/>
  <c r="E117" i="4"/>
  <c r="E119" i="4"/>
  <c r="H74" i="4"/>
  <c r="H72" i="4"/>
  <c r="F125" i="4"/>
  <c r="F115" i="4"/>
  <c r="F119" i="4"/>
  <c r="F117" i="4"/>
  <c r="D125" i="4"/>
  <c r="F120" i="4"/>
  <c r="G76" i="4"/>
  <c r="H73" i="4"/>
  <c r="G124" i="4"/>
  <c r="F116" i="4"/>
</calcChain>
</file>

<file path=xl/sharedStrings.xml><?xml version="1.0" encoding="utf-8"?>
<sst xmlns="http://schemas.openxmlformats.org/spreadsheetml/2006/main" count="461" uniqueCount="143">
  <si>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</si>
  <si>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</si>
  <si>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</si>
  <si>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</si>
  <si>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</si>
  <si>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</si>
  <si>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</si>
  <si>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NDQB201709248</t>
  </si>
  <si>
    <t>Weight (mg):</t>
  </si>
  <si>
    <t>Sulfamethoxazole &amp; Trimethoprim</t>
  </si>
  <si>
    <t>Standard Conc (mg/mL):</t>
  </si>
  <si>
    <t xml:space="preserve">Each tablet contains: Sulfamethoxazole BP 800 mg and Trimethoprim BP 160 mg.
</t>
  </si>
  <si>
    <t>2017-09-29 09:28:34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</si>
  <si>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</si>
  <si>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</si>
  <si>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</si>
  <si>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</si>
  <si>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</si>
  <si>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</si>
  <si>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</si>
  <si>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</si>
  <si>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</si>
  <si>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</si>
  <si>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  <family val="1"/>
      </rPr>
      <t>greater than 2000</t>
    </r>
  </si>
  <si>
    <r>
      <t>The Assymetry of all peaks were below</t>
    </r>
    <r>
      <rPr>
        <b/>
        <sz val="12"/>
        <color indexed="8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</si>
  <si>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</si>
  <si>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</si>
  <si>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</si>
  <si>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</si>
  <si>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</si>
  <si>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</si>
  <si>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</si>
  <si>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</si>
  <si>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</si>
  <si>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</si>
  <si>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</si>
  <si>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</si>
  <si>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</si>
  <si>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</si>
  <si>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</si>
  <si>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</si>
  <si>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</si>
  <si>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</si>
  <si>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</si>
  <si>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</si>
  <si>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</si>
  <si>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</si>
  <si>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</si>
  <si>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</si>
  <si>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</si>
  <si>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</si>
  <si>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</si>
  <si>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</si>
  <si>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</si>
  <si>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</si>
  <si>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</si>
  <si>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</si>
  <si>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</si>
  <si>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</si>
  <si>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</si>
  <si>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</si>
  <si>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</si>
  <si>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</si>
  <si>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</si>
  <si>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</si>
  <si>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</si>
  <si>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</si>
  <si>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</si>
  <si>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</si>
  <si>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</si>
  <si>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</si>
  <si>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</si>
  <si>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</si>
  <si>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</si>
  <si>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</si>
  <si>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</si>
  <si>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</si>
  <si>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</si>
  <si>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</si>
  <si>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</si>
  <si>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</si>
  <si>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</si>
  <si>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</si>
  <si>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</si>
  <si>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</si>
  <si>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</si>
  <si>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</si>
  <si>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</si>
  <si>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</si>
  <si>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</si>
  <si>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</si>
  <si>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</si>
  <si>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</si>
  <si>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</si>
  <si>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</si>
  <si>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</si>
  <si>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</si>
  <si>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</si>
  <si>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</si>
  <si>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</si>
  <si>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</si>
  <si>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</si>
  <si>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</si>
  <si>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</si>
  <si>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</si>
  <si>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</si>
  <si>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</si>
  <si>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</si>
  <si>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</si>
  <si>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</si>
  <si>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</si>
  <si>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</si>
  <si>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</si>
  <si>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</si>
  <si>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</si>
  <si>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</si>
  <si>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</si>
  <si>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</si>
  <si>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</si>
  <si>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</si>
  <si>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</si>
  <si>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</si>
  <si>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</si>
  <si>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</si>
  <si>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</si>
  <si>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</si>
  <si>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</si>
  <si>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</si>
  <si>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</si>
  <si>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</si>
  <si>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</si>
  <si>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</si>
  <si>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Trimethoprim</t>
  </si>
  <si>
    <t xml:space="preserve">DR. </t>
  </si>
  <si>
    <t>PETER NGUMO</t>
  </si>
  <si>
    <t>RESOLUTION</t>
  </si>
  <si>
    <r>
      <t xml:space="preserve">The Resolution between Trimethoprim and Sulfamethoxazole peaks should not be </t>
    </r>
    <r>
      <rPr>
        <b/>
        <sz val="12"/>
        <color indexed="8"/>
        <rFont val="Book Antiqua"/>
        <family val="1"/>
      </rPr>
      <t>less than 5.0</t>
    </r>
    <r>
      <rPr>
        <sz val="12"/>
        <color indexed="8"/>
        <rFont val="Book Antiqua"/>
        <family val="1"/>
      </rPr>
      <t xml:space="preserve"> </t>
    </r>
  </si>
  <si>
    <t>DR.</t>
  </si>
  <si>
    <t>S12-6</t>
  </si>
  <si>
    <t>Each tablet contains: Sulphamethoxazole BP 800 mg and Trimethoprim BP 160 mg.</t>
  </si>
  <si>
    <t>TRIMETHOPRIM</t>
  </si>
  <si>
    <t>T7-5</t>
  </si>
  <si>
    <t>CO-TRIMOXAZOLE TABLETS BP 960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</si>
</sst>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  <family val="2"/>
    </font>
    <font>
      <b/>
      <sz val="12"/>
      <color indexed="8"/>
      <name val="Book Antiqua"/>
      <family val="1"/>
    </font>
    <font>
      <sz val="14"/>
      <color indexed="8"/>
      <name val="Book Antiqua"/>
      <family val="1"/>
    </font>
    <font>
      <vertAlign val="superscript"/>
      <sz val="14"/>
      <color indexed="8"/>
      <name val="Book Antiqua"/>
      <family val="1"/>
    </font>
    <font>
      <sz val="12"/>
      <color indexed="8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/>
  </cellStyleXfs>
  <cellXfs count="526"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0" fontId="8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0" fontId="9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0" fontId="7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6" fillId="0" borderId="0" xfId="0" applyNumberFormat="1" applyFont="1" applyFill="1"/>
    <xf numFmtId="2" fontId="10" fillId="0" borderId="0" xfId="0" applyNumberFormat="1" applyFont="1" applyFill="1"/>
    <xf numFmtId="0" fontId="11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/>
    <xf numFmtId="0" fontId="8" fillId="0" borderId="0" xfId="0" applyFont="1" applyFill="1" applyAlignment="1">
      <alignment horizontal="right"/>
    </xf>
    <xf numFmtId="0" fontId="9" fillId="0" borderId="2" xfId="0" applyFont="1" applyFill="1" applyBorder="1"/>
    <xf numFmtId="0" fontId="9" fillId="0" borderId="0" xfId="0" applyFont="1" applyFill="1" applyAlignment="1">
      <alignment horizontal="center"/>
    </xf>
    <xf numFmtId="10" fontId="9" fillId="0" borderId="2" xfId="0" applyNumberFormat="1" applyFont="1" applyFill="1" applyBorder="1"/>
    <xf numFmtId="0" fontId="12" fillId="0" borderId="0" xfId="0" applyFont="1" applyFill="1"/>
    <xf numFmtId="0" fontId="8" fillId="0" borderId="3" xfId="0" applyFont="1" applyFill="1" applyBorder="1"/>
    <xf numFmtId="0" fontId="8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8" fillId="0" borderId="0" xfId="0" applyFont="1" applyFill="1" applyAlignment="1">
      <alignment horizontal="right"/>
    </xf>
    <xf numFmtId="0" fontId="9" fillId="0" borderId="4" xfId="0" applyFont="1" applyFill="1" applyBorder="1"/>
    <xf numFmtId="0" fontId="9" fillId="0" borderId="0" xfId="0" applyFont="1" applyFill="1"/>
    <xf numFmtId="0" fontId="9" fillId="0" borderId="4" xfId="0" applyFont="1" applyFill="1" applyBorder="1"/>
    <xf numFmtId="0" fontId="8" fillId="0" borderId="5" xfId="0" applyFont="1" applyFill="1" applyBorder="1"/>
    <xf numFmtId="0" fontId="8" fillId="0" borderId="0" xfId="0" applyFont="1" applyFill="1"/>
    <xf numFmtId="0" fontId="9" fillId="0" borderId="5" xfId="0" applyFont="1" applyFill="1" applyBorder="1"/>
    <xf numFmtId="167" fontId="9" fillId="0" borderId="0" xfId="0" applyNumberFormat="1" applyFont="1" applyFill="1"/>
    <xf numFmtId="166" fontId="9" fillId="0" borderId="0" xfId="0" applyNumberFormat="1" applyFont="1" applyFill="1" applyAlignment="1">
      <alignment horizontal="center"/>
    </xf>
    <xf numFmtId="2" fontId="8" fillId="0" borderId="0" xfId="0" applyNumberFormat="1" applyFont="1" applyFill="1"/>
    <xf numFmtId="10" fontId="7" fillId="0" borderId="0" xfId="0" applyNumberFormat="1" applyFont="1" applyFill="1"/>
    <xf numFmtId="2" fontId="8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right" vertical="center"/>
    </xf>
    <xf numFmtId="166" fontId="9" fillId="0" borderId="6" xfId="0" applyNumberFormat="1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wrapText="1"/>
    </xf>
    <xf numFmtId="164" fontId="8" fillId="0" borderId="6" xfId="0" applyNumberFormat="1" applyFont="1" applyFill="1" applyBorder="1" applyAlignment="1">
      <alignment horizontal="center" wrapText="1"/>
    </xf>
    <xf numFmtId="10" fontId="9" fillId="0" borderId="7" xfId="0" applyNumberFormat="1" applyFont="1" applyFill="1" applyBorder="1" applyAlignment="1">
      <alignment horizontal="center"/>
    </xf>
    <xf numFmtId="10" fontId="9" fillId="0" borderId="8" xfId="0" applyNumberFormat="1" applyFont="1" applyFill="1" applyBorder="1" applyAlignment="1">
      <alignment horizontal="center"/>
    </xf>
    <xf numFmtId="10" fontId="9" fillId="0" borderId="9" xfId="0" applyNumberFormat="1" applyFont="1" applyFill="1" applyBorder="1" applyAlignment="1">
      <alignment horizontal="center"/>
    </xf>
    <xf numFmtId="0" fontId="11" fillId="0" borderId="0" xfId="0" applyFont="1" applyFill="1"/>
    <xf numFmtId="0" fontId="13" fillId="0" borderId="0" xfId="0" applyFont="1" applyFill="1" applyAlignment="1">
      <alignment wrapText="1"/>
    </xf>
    <xf numFmtId="0" fontId="8" fillId="0" borderId="6" xfId="0" applyFont="1" applyFill="1" applyBorder="1" applyAlignment="1">
      <alignment horizontal="center" vertical="center"/>
    </xf>
    <xf numFmtId="165" fontId="8" fillId="0" borderId="10" xfId="0" applyNumberFormat="1" applyFont="1" applyFill="1" applyBorder="1" applyAlignment="1">
      <alignment horizontal="center"/>
    </xf>
    <xf numFmtId="165" fontId="8" fillId="0" borderId="11" xfId="0" applyNumberFormat="1" applyFont="1" applyFill="1" applyBorder="1" applyAlignment="1">
      <alignment horizontal="center"/>
    </xf>
    <xf numFmtId="2" fontId="9" fillId="2" borderId="8" xfId="0" applyNumberFormat="1" applyFont="1" applyFill="1" applyBorder="1" applyProtection="1">
      <protection locked="0"/>
    </xf>
    <xf numFmtId="2" fontId="9" fillId="2" borderId="9" xfId="0" applyNumberFormat="1" applyFont="1" applyFill="1" applyBorder="1" applyProtection="1">
      <protection locked="0"/>
    </xf>
    <xf numFmtId="167" fontId="9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 applyAlignment="1" applyProtection="1">
      <alignment horizontal="left"/>
      <protection locked="0"/>
    </xf>
    <xf numFmtId="0" fontId="17" fillId="0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Protection="1">
      <protection locked="0"/>
    </xf>
    <xf numFmtId="168" fontId="17" fillId="2" borderId="0" xfId="0" applyNumberFormat="1" applyFont="1" applyFill="1" applyAlignment="1" applyProtection="1">
      <alignment horizontal="center"/>
      <protection locked="0"/>
    </xf>
    <xf numFmtId="169" fontId="14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5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16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9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/>
    </xf>
    <xf numFmtId="0" fontId="20" fillId="0" borderId="0" xfId="0" applyFont="1" applyFill="1"/>
    <xf numFmtId="0" fontId="21" fillId="0" borderId="0" xfId="0" applyFont="1" applyFill="1"/>
    <xf numFmtId="2" fontId="16" fillId="2" borderId="0" xfId="0" applyNumberFormat="1" applyFont="1" applyFill="1" applyAlignment="1" applyProtection="1">
      <alignment horizontal="center"/>
      <protection locked="0"/>
    </xf>
    <xf numFmtId="0" fontId="15" fillId="0" borderId="0" xfId="0" applyFont="1" applyFill="1" applyAlignment="1">
      <alignment vertical="center" wrapText="1"/>
    </xf>
    <xf numFmtId="0" fontId="22" fillId="0" borderId="0" xfId="0" applyFont="1" applyFill="1"/>
    <xf numFmtId="2" fontId="15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left" vertical="center" wrapText="1"/>
    </xf>
    <xf numFmtId="170" fontId="15" fillId="0" borderId="0" xfId="0" applyNumberFormat="1" applyFont="1" applyFill="1" applyAlignment="1">
      <alignment horizontal="center"/>
    </xf>
    <xf numFmtId="0" fontId="14" fillId="0" borderId="12" xfId="0" applyFont="1" applyFill="1" applyBorder="1" applyAlignment="1">
      <alignment horizontal="right"/>
    </xf>
    <xf numFmtId="0" fontId="16" fillId="2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>
      <alignment horizontal="right"/>
    </xf>
    <xf numFmtId="0" fontId="16" fillId="2" borderId="15" xfId="0" applyFont="1" applyFill="1" applyBorder="1" applyAlignment="1" applyProtection="1">
      <alignment horizontal="center"/>
      <protection locked="0"/>
    </xf>
    <xf numFmtId="0" fontId="15" fillId="0" borderId="13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171" fontId="14" fillId="0" borderId="17" xfId="0" applyNumberFormat="1" applyFont="1" applyFill="1" applyBorder="1" applyAlignment="1">
      <alignment horizontal="center"/>
    </xf>
    <xf numFmtId="171" fontId="14" fillId="0" borderId="20" xfId="0" applyNumberFormat="1" applyFont="1" applyFill="1" applyBorder="1" applyAlignment="1">
      <alignment horizontal="center"/>
    </xf>
    <xf numFmtId="0" fontId="22" fillId="0" borderId="7" xfId="0" applyFont="1" applyFill="1" applyBorder="1"/>
    <xf numFmtId="0" fontId="14" fillId="0" borderId="15" xfId="0" applyFont="1" applyFill="1" applyBorder="1" applyAlignment="1">
      <alignment horizontal="center"/>
    </xf>
    <xf numFmtId="0" fontId="16" fillId="2" borderId="14" xfId="0" applyFont="1" applyFill="1" applyBorder="1" applyAlignment="1" applyProtection="1">
      <alignment horizontal="center"/>
      <protection locked="0"/>
    </xf>
    <xf numFmtId="171" fontId="14" fillId="0" borderId="21" xfId="0" applyNumberFormat="1" applyFont="1" applyFill="1" applyBorder="1" applyAlignment="1">
      <alignment horizontal="center"/>
    </xf>
    <xf numFmtId="171" fontId="14" fillId="0" borderId="22" xfId="0" applyNumberFormat="1" applyFont="1" applyFill="1" applyBorder="1" applyAlignment="1">
      <alignment horizontal="center"/>
    </xf>
    <xf numFmtId="0" fontId="14" fillId="0" borderId="0" xfId="0" applyFont="1" applyFill="1"/>
    <xf numFmtId="0" fontId="14" fillId="0" borderId="23" xfId="0" applyFont="1" applyFill="1" applyBorder="1" applyAlignment="1">
      <alignment horizontal="center"/>
    </xf>
    <xf numFmtId="0" fontId="16" fillId="2" borderId="24" xfId="0" applyFont="1" applyFill="1" applyBorder="1" applyAlignment="1" applyProtection="1">
      <alignment horizontal="center"/>
      <protection locked="0"/>
    </xf>
    <xf numFmtId="171" fontId="14" fillId="0" borderId="25" xfId="0" applyNumberFormat="1" applyFont="1" applyFill="1" applyBorder="1" applyAlignment="1">
      <alignment horizontal="center"/>
    </xf>
    <xf numFmtId="171" fontId="14" fillId="0" borderId="26" xfId="0" applyNumberFormat="1" applyFont="1" applyFill="1" applyBorder="1" applyAlignment="1">
      <alignment horizontal="center"/>
    </xf>
    <xf numFmtId="0" fontId="14" fillId="0" borderId="9" xfId="0" applyFont="1" applyFill="1" applyBorder="1"/>
    <xf numFmtId="0" fontId="14" fillId="0" borderId="15" xfId="0" applyFont="1" applyFill="1" applyBorder="1" applyAlignment="1">
      <alignment horizontal="right"/>
    </xf>
    <xf numFmtId="1" fontId="15" fillId="3" borderId="27" xfId="0" applyNumberFormat="1" applyFont="1" applyFill="1" applyBorder="1" applyAlignment="1">
      <alignment horizontal="center"/>
    </xf>
    <xf numFmtId="171" fontId="15" fillId="3" borderId="28" xfId="0" applyNumberFormat="1" applyFont="1" applyFill="1" applyBorder="1" applyAlignment="1">
      <alignment horizontal="center"/>
    </xf>
    <xf numFmtId="171" fontId="15" fillId="3" borderId="29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4" fillId="0" borderId="30" xfId="0" applyFont="1" applyFill="1" applyBorder="1" applyAlignment="1">
      <alignment horizontal="right"/>
    </xf>
    <xf numFmtId="0" fontId="16" fillId="2" borderId="10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>
      <alignment horizontal="right"/>
    </xf>
    <xf numFmtId="2" fontId="14" fillId="3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15" xfId="0" applyFont="1" applyFill="1" applyBorder="1" applyAlignment="1">
      <alignment horizontal="center"/>
    </xf>
    <xf numFmtId="2" fontId="14" fillId="4" borderId="31" xfId="0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166" fontId="14" fillId="3" borderId="31" xfId="0" applyNumberFormat="1" applyFont="1" applyFill="1" applyBorder="1" applyAlignment="1">
      <alignment horizontal="center"/>
    </xf>
    <xf numFmtId="166" fontId="14" fillId="0" borderId="0" xfId="0" applyNumberFormat="1" applyFont="1" applyFill="1" applyAlignment="1">
      <alignment horizontal="center"/>
    </xf>
    <xf numFmtId="166" fontId="14" fillId="3" borderId="11" xfId="0" applyNumberFormat="1" applyFont="1" applyFill="1" applyBorder="1" applyAlignment="1">
      <alignment horizontal="center"/>
    </xf>
    <xf numFmtId="0" fontId="14" fillId="0" borderId="32" xfId="0" applyFont="1" applyFill="1" applyBorder="1" applyAlignment="1">
      <alignment horizontal="right"/>
    </xf>
    <xf numFmtId="166" fontId="16" fillId="2" borderId="31" xfId="0" applyNumberFormat="1" applyFont="1" applyFill="1" applyBorder="1" applyAlignment="1" applyProtection="1">
      <alignment horizontal="center"/>
      <protection locked="0"/>
    </xf>
    <xf numFmtId="166" fontId="14" fillId="0" borderId="0" xfId="0" applyNumberFormat="1" applyFont="1" applyFill="1"/>
    <xf numFmtId="0" fontId="14" fillId="0" borderId="33" xfId="0" applyFont="1" applyFill="1" applyBorder="1" applyAlignment="1">
      <alignment horizontal="right"/>
    </xf>
    <xf numFmtId="1" fontId="14" fillId="0" borderId="0" xfId="0" applyNumberFormat="1" applyFont="1" applyFill="1" applyAlignment="1">
      <alignment horizontal="center"/>
    </xf>
    <xf numFmtId="0" fontId="14" fillId="0" borderId="9" xfId="0" applyFont="1" applyFill="1" applyBorder="1" applyAlignment="1">
      <alignment horizontal="right"/>
    </xf>
    <xf numFmtId="2" fontId="14" fillId="3" borderId="9" xfId="0" applyNumberFormat="1" applyFont="1" applyFill="1" applyBorder="1" applyAlignment="1">
      <alignment horizontal="center"/>
    </xf>
    <xf numFmtId="171" fontId="15" fillId="4" borderId="7" xfId="0" applyNumberFormat="1" applyFont="1" applyFill="1" applyBorder="1" applyAlignment="1">
      <alignment horizontal="center"/>
    </xf>
    <xf numFmtId="171" fontId="14" fillId="0" borderId="0" xfId="0" applyNumberFormat="1" applyFont="1" applyFill="1" applyAlignment="1">
      <alignment horizontal="center"/>
    </xf>
    <xf numFmtId="10" fontId="14" fillId="3" borderId="31" xfId="0" applyNumberFormat="1" applyFont="1" applyFill="1" applyBorder="1" applyAlignment="1">
      <alignment horizontal="center"/>
    </xf>
    <xf numFmtId="0" fontId="14" fillId="0" borderId="34" xfId="0" applyFont="1" applyFill="1" applyBorder="1" applyAlignment="1">
      <alignment horizontal="right"/>
    </xf>
    <xf numFmtId="0" fontId="14" fillId="4" borderId="9" xfId="0" applyFont="1" applyFill="1" applyBorder="1" applyAlignment="1">
      <alignment horizontal="center"/>
    </xf>
    <xf numFmtId="0" fontId="18" fillId="0" borderId="0" xfId="0" applyFont="1" applyFill="1"/>
    <xf numFmtId="0" fontId="15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172" fontId="16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horizontal="center"/>
    </xf>
    <xf numFmtId="2" fontId="15" fillId="0" borderId="7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6" fillId="2" borderId="12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>
      <alignment horizontal="center"/>
    </xf>
    <xf numFmtId="1" fontId="16" fillId="2" borderId="14" xfId="0" applyNumberFormat="1" applyFont="1" applyFill="1" applyBorder="1" applyAlignment="1" applyProtection="1">
      <alignment horizontal="center"/>
      <protection locked="0"/>
    </xf>
    <xf numFmtId="0" fontId="14" fillId="0" borderId="9" xfId="0" applyFont="1" applyFill="1" applyBorder="1" applyAlignment="1">
      <alignment horizontal="center"/>
    </xf>
    <xf numFmtId="0" fontId="16" fillId="2" borderId="34" xfId="0" applyFont="1" applyFill="1" applyBorder="1" applyAlignment="1" applyProtection="1">
      <alignment horizontal="center"/>
      <protection locked="0"/>
    </xf>
    <xf numFmtId="0" fontId="17" fillId="0" borderId="15" xfId="0" applyFont="1" applyFill="1" applyBorder="1" applyAlignment="1">
      <alignment horizontal="center"/>
    </xf>
    <xf numFmtId="2" fontId="17" fillId="0" borderId="35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6" xfId="0" applyFont="1" applyFill="1" applyBorder="1" applyAlignment="1">
      <alignment horizontal="right"/>
    </xf>
    <xf numFmtId="0" fontId="14" fillId="0" borderId="31" xfId="0" applyFont="1" applyFill="1" applyBorder="1" applyAlignment="1">
      <alignment horizontal="right"/>
    </xf>
    <xf numFmtId="2" fontId="14" fillId="0" borderId="0" xfId="0" applyNumberFormat="1" applyFont="1" applyFill="1" applyAlignment="1">
      <alignment horizontal="center"/>
    </xf>
    <xf numFmtId="0" fontId="14" fillId="0" borderId="11" xfId="0" applyFont="1" applyFill="1" applyBorder="1" applyAlignment="1">
      <alignment horizontal="right"/>
    </xf>
    <xf numFmtId="0" fontId="16" fillId="4" borderId="37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4" fillId="0" borderId="0" xfId="0" applyFont="1" applyFill="1"/>
    <xf numFmtId="165" fontId="16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2" borderId="0" xfId="0" applyFont="1" applyFill="1" applyAlignment="1" applyProtection="1">
      <alignment horizontal="center"/>
      <protection locked="0"/>
    </xf>
    <xf numFmtId="0" fontId="15" fillId="0" borderId="38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4" fillId="0" borderId="39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171" fontId="16" fillId="2" borderId="24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Fill="1" applyAlignment="1">
      <alignment horizontal="right"/>
    </xf>
    <xf numFmtId="1" fontId="15" fillId="3" borderId="40" xfId="0" applyNumberFormat="1" applyFont="1" applyFill="1" applyBorder="1" applyAlignment="1">
      <alignment horizontal="center"/>
    </xf>
    <xf numFmtId="1" fontId="15" fillId="3" borderId="41" xfId="0" applyNumberFormat="1" applyFont="1" applyFill="1" applyBorder="1" applyAlignment="1">
      <alignment horizontal="center"/>
    </xf>
    <xf numFmtId="171" fontId="15" fillId="3" borderId="9" xfId="0" applyNumberFormat="1" applyFont="1" applyFill="1" applyBorder="1" applyAlignment="1">
      <alignment horizontal="center"/>
    </xf>
    <xf numFmtId="0" fontId="14" fillId="0" borderId="42" xfId="0" applyFont="1" applyFill="1" applyBorder="1" applyAlignment="1">
      <alignment horizontal="right"/>
    </xf>
    <xf numFmtId="0" fontId="16" fillId="2" borderId="43" xfId="0" applyFont="1" applyFill="1" applyBorder="1" applyAlignment="1" applyProtection="1">
      <alignment horizontal="center"/>
      <protection locked="0"/>
    </xf>
    <xf numFmtId="0" fontId="14" fillId="0" borderId="16" xfId="0" applyFont="1" applyFill="1" applyBorder="1" applyAlignment="1">
      <alignment horizontal="right"/>
    </xf>
    <xf numFmtId="2" fontId="14" fillId="3" borderId="18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2" fontId="14" fillId="4" borderId="18" xfId="0" applyNumberFormat="1" applyFont="1" applyFill="1" applyBorder="1" applyAlignment="1">
      <alignment horizontal="center"/>
    </xf>
    <xf numFmtId="166" fontId="14" fillId="3" borderId="18" xfId="0" applyNumberFormat="1" applyFont="1" applyFill="1" applyBorder="1" applyAlignment="1">
      <alignment horizontal="center"/>
    </xf>
    <xf numFmtId="0" fontId="7" fillId="0" borderId="0" xfId="0" applyFont="1" applyFill="1"/>
    <xf numFmtId="166" fontId="14" fillId="4" borderId="18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14" fillId="0" borderId="44" xfId="0" applyFont="1" applyFill="1" applyBorder="1" applyAlignment="1">
      <alignment horizontal="right"/>
    </xf>
    <xf numFmtId="2" fontId="14" fillId="4" borderId="20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4" fillId="0" borderId="10" xfId="0" applyFont="1" applyFill="1" applyBorder="1" applyAlignment="1">
      <alignment horizontal="right"/>
    </xf>
    <xf numFmtId="171" fontId="15" fillId="4" borderId="1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10" fontId="14" fillId="0" borderId="0" xfId="0" applyNumberFormat="1" applyFont="1" applyFill="1" applyAlignment="1">
      <alignment horizontal="center"/>
    </xf>
    <xf numFmtId="10" fontId="15" fillId="3" borderId="31" xfId="0" applyNumberFormat="1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 wrapText="1"/>
    </xf>
    <xf numFmtId="0" fontId="14" fillId="0" borderId="14" xfId="0" applyFont="1" applyFill="1" applyBorder="1" applyAlignment="1">
      <alignment horizontal="center"/>
    </xf>
    <xf numFmtId="0" fontId="14" fillId="0" borderId="14" xfId="0" applyFont="1" applyFill="1" applyBorder="1"/>
    <xf numFmtId="10" fontId="16" fillId="3" borderId="18" xfId="0" applyNumberFormat="1" applyFont="1" applyFill="1" applyBorder="1" applyAlignment="1">
      <alignment horizontal="center"/>
    </xf>
    <xf numFmtId="0" fontId="14" fillId="0" borderId="34" xfId="0" applyFont="1" applyFill="1" applyBorder="1"/>
    <xf numFmtId="0" fontId="23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Alignment="1">
      <alignment horizontal="right"/>
    </xf>
    <xf numFmtId="0" fontId="14" fillId="0" borderId="4" xfId="0" applyFont="1" applyFill="1" applyBorder="1"/>
    <xf numFmtId="0" fontId="14" fillId="0" borderId="4" xfId="0" applyFont="1" applyFill="1" applyBorder="1"/>
    <xf numFmtId="0" fontId="15" fillId="0" borderId="5" xfId="0" applyFont="1" applyFill="1" applyBorder="1"/>
    <xf numFmtId="0" fontId="14" fillId="0" borderId="5" xfId="0" applyFont="1" applyFill="1" applyBorder="1"/>
    <xf numFmtId="0" fontId="23" fillId="0" borderId="0" xfId="0" applyFont="1" applyFill="1" applyAlignment="1">
      <alignment horizontal="right" vertical="center" wrapText="1"/>
    </xf>
    <xf numFmtId="0" fontId="16" fillId="0" borderId="0" xfId="0" applyFont="1" applyFill="1" applyAlignment="1" applyProtection="1">
      <alignment horizontal="right"/>
      <protection locked="0"/>
    </xf>
    <xf numFmtId="166" fontId="15" fillId="0" borderId="0" xfId="0" applyNumberFormat="1" applyFont="1" applyFill="1" applyAlignment="1" applyProtection="1">
      <alignment horizontal="center"/>
      <protection locked="0"/>
    </xf>
    <xf numFmtId="166" fontId="14" fillId="0" borderId="12" xfId="0" applyNumberFormat="1" applyFont="1" applyFill="1" applyBorder="1" applyAlignment="1">
      <alignment horizontal="center"/>
    </xf>
    <xf numFmtId="166" fontId="14" fillId="0" borderId="14" xfId="0" applyNumberFormat="1" applyFont="1" applyFill="1" applyBorder="1" applyAlignment="1">
      <alignment horizontal="center"/>
    </xf>
    <xf numFmtId="166" fontId="14" fillId="0" borderId="7" xfId="0" applyNumberFormat="1" applyFont="1" applyFill="1" applyBorder="1" applyAlignment="1">
      <alignment horizontal="center"/>
    </xf>
    <xf numFmtId="166" fontId="14" fillId="0" borderId="8" xfId="0" applyNumberFormat="1" applyFont="1" applyFill="1" applyBorder="1" applyAlignment="1">
      <alignment horizontal="center"/>
    </xf>
    <xf numFmtId="166" fontId="14" fillId="0" borderId="9" xfId="0" applyNumberFormat="1" applyFont="1" applyFill="1" applyBorder="1" applyAlignment="1">
      <alignment horizontal="center"/>
    </xf>
    <xf numFmtId="10" fontId="16" fillId="3" borderId="45" xfId="0" applyNumberFormat="1" applyFont="1" applyFill="1" applyBorder="1" applyAlignment="1">
      <alignment horizontal="center"/>
    </xf>
    <xf numFmtId="2" fontId="16" fillId="4" borderId="23" xfId="0" applyNumberFormat="1" applyFont="1" applyFill="1" applyBorder="1" applyAlignment="1">
      <alignment horizontal="center"/>
    </xf>
    <xf numFmtId="0" fontId="17" fillId="0" borderId="0" xfId="0" applyFont="1" applyFill="1"/>
    <xf numFmtId="10" fontId="16" fillId="3" borderId="45" xfId="0" applyNumberFormat="1" applyFont="1" applyFill="1" applyBorder="1" applyAlignment="1">
      <alignment horizontal="center"/>
    </xf>
    <xf numFmtId="171" fontId="14" fillId="0" borderId="10" xfId="0" applyNumberFormat="1" applyFont="1" applyFill="1" applyBorder="1" applyAlignment="1">
      <alignment horizontal="right"/>
    </xf>
    <xf numFmtId="0" fontId="14" fillId="0" borderId="8" xfId="0" applyFont="1" applyFill="1" applyBorder="1" applyAlignment="1">
      <alignment horizontal="right"/>
    </xf>
    <xf numFmtId="2" fontId="16" fillId="4" borderId="46" xfId="0" applyNumberFormat="1" applyFont="1" applyFill="1" applyBorder="1" applyAlignment="1">
      <alignment horizontal="center"/>
    </xf>
    <xf numFmtId="0" fontId="14" fillId="0" borderId="7" xfId="0" applyFont="1" applyFill="1" applyBorder="1"/>
    <xf numFmtId="0" fontId="16" fillId="4" borderId="19" xfId="0" applyFont="1" applyFill="1" applyBorder="1" applyAlignment="1">
      <alignment horizontal="center"/>
    </xf>
    <xf numFmtId="0" fontId="16" fillId="4" borderId="47" xfId="0" applyFont="1" applyFill="1" applyBorder="1" applyAlignment="1">
      <alignment horizontal="center"/>
    </xf>
    <xf numFmtId="2" fontId="16" fillId="3" borderId="45" xfId="0" applyNumberFormat="1" applyFont="1" applyFill="1" applyBorder="1" applyAlignment="1">
      <alignment horizontal="center"/>
    </xf>
    <xf numFmtId="2" fontId="16" fillId="4" borderId="37" xfId="0" applyNumberFormat="1" applyFont="1" applyFill="1" applyBorder="1" applyAlignment="1">
      <alignment horizontal="center"/>
    </xf>
    <xf numFmtId="166" fontId="14" fillId="0" borderId="34" xfId="0" applyNumberFormat="1" applyFont="1" applyFill="1" applyBorder="1" applyAlignment="1">
      <alignment horizontal="center"/>
    </xf>
    <xf numFmtId="173" fontId="14" fillId="0" borderId="7" xfId="0" applyNumberFormat="1" applyFont="1" applyFill="1" applyBorder="1" applyAlignment="1">
      <alignment horizontal="center" vertical="center"/>
    </xf>
    <xf numFmtId="173" fontId="14" fillId="0" borderId="8" xfId="0" applyNumberFormat="1" applyFont="1" applyFill="1" applyBorder="1" applyAlignment="1">
      <alignment horizontal="center" vertical="center"/>
    </xf>
    <xf numFmtId="173" fontId="14" fillId="0" borderId="9" xfId="0" applyNumberFormat="1" applyFont="1" applyFill="1" applyBorder="1" applyAlignment="1">
      <alignment horizontal="center" vertical="center"/>
    </xf>
    <xf numFmtId="173" fontId="16" fillId="4" borderId="23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1" fontId="16" fillId="2" borderId="8" xfId="0" applyNumberFormat="1" applyFont="1" applyFill="1" applyBorder="1" applyAlignment="1" applyProtection="1">
      <alignment horizontal="center"/>
      <protection locked="0"/>
    </xf>
    <xf numFmtId="1" fontId="16" fillId="2" borderId="9" xfId="0" applyNumberFormat="1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>
      <alignment horizontal="center"/>
    </xf>
    <xf numFmtId="1" fontId="16" fillId="2" borderId="7" xfId="0" applyNumberFormat="1" applyFont="1" applyFill="1" applyBorder="1" applyAlignment="1" applyProtection="1">
      <alignment horizontal="center"/>
      <protection locked="0"/>
    </xf>
    <xf numFmtId="173" fontId="14" fillId="0" borderId="13" xfId="0" applyNumberFormat="1" applyFont="1" applyFill="1" applyBorder="1" applyAlignment="1">
      <alignment horizontal="center"/>
    </xf>
    <xf numFmtId="173" fontId="14" fillId="0" borderId="15" xfId="0" applyNumberFormat="1" applyFont="1" applyFill="1" applyBorder="1" applyAlignment="1">
      <alignment horizontal="center"/>
    </xf>
    <xf numFmtId="173" fontId="14" fillId="0" borderId="35" xfId="0" applyNumberFormat="1" applyFont="1" applyFill="1" applyBorder="1" applyAlignment="1">
      <alignment horizontal="center"/>
    </xf>
    <xf numFmtId="173" fontId="14" fillId="0" borderId="15" xfId="0" applyNumberFormat="1" applyFont="1" applyFill="1" applyBorder="1" applyAlignment="1">
      <alignment horizontal="center"/>
    </xf>
    <xf numFmtId="174" fontId="16" fillId="4" borderId="43" xfId="0" applyNumberFormat="1" applyFont="1" applyFill="1" applyBorder="1" applyAlignment="1">
      <alignment horizontal="center"/>
    </xf>
    <xf numFmtId="174" fontId="16" fillId="3" borderId="45" xfId="0" applyNumberFormat="1" applyFont="1" applyFill="1" applyBorder="1" applyAlignment="1">
      <alignment horizontal="center"/>
    </xf>
    <xf numFmtId="174" fontId="16" fillId="4" borderId="37" xfId="0" applyNumberFormat="1" applyFont="1" applyFill="1" applyBorder="1" applyAlignment="1">
      <alignment horizontal="center"/>
    </xf>
    <xf numFmtId="175" fontId="24" fillId="0" borderId="0" xfId="0" applyNumberFormat="1" applyFont="1" applyFill="1" applyAlignment="1">
      <alignment horizontal="center"/>
    </xf>
    <xf numFmtId="174" fontId="16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 applyAlignment="1" applyProtection="1">
      <alignment horizontal="left"/>
      <protection locked="0"/>
    </xf>
    <xf numFmtId="0" fontId="17" fillId="0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Protection="1">
      <protection locked="0"/>
    </xf>
    <xf numFmtId="168" fontId="17" fillId="2" borderId="0" xfId="0" applyNumberFormat="1" applyFont="1" applyFill="1" applyAlignment="1" applyProtection="1">
      <alignment horizontal="center"/>
      <protection locked="0"/>
    </xf>
    <xf numFmtId="169" fontId="14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5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16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9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/>
    </xf>
    <xf numFmtId="0" fontId="20" fillId="0" borderId="0" xfId="0" applyFont="1" applyFill="1"/>
    <xf numFmtId="0" fontId="21" fillId="0" borderId="0" xfId="0" applyFont="1" applyFill="1"/>
    <xf numFmtId="2" fontId="16" fillId="2" borderId="0" xfId="0" applyNumberFormat="1" applyFont="1" applyFill="1" applyAlignment="1" applyProtection="1">
      <alignment horizontal="center"/>
      <protection locked="0"/>
    </xf>
    <xf numFmtId="0" fontId="15" fillId="0" borderId="0" xfId="0" applyFont="1" applyFill="1" applyAlignment="1">
      <alignment vertical="center" wrapText="1"/>
    </xf>
    <xf numFmtId="0" fontId="22" fillId="0" borderId="0" xfId="0" applyFont="1" applyFill="1"/>
    <xf numFmtId="2" fontId="15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left" vertical="center" wrapText="1"/>
    </xf>
    <xf numFmtId="170" fontId="15" fillId="0" borderId="0" xfId="0" applyNumberFormat="1" applyFont="1" applyFill="1" applyAlignment="1">
      <alignment horizontal="center"/>
    </xf>
    <xf numFmtId="0" fontId="14" fillId="0" borderId="12" xfId="0" applyFont="1" applyFill="1" applyBorder="1" applyAlignment="1">
      <alignment horizontal="right"/>
    </xf>
    <xf numFmtId="0" fontId="16" fillId="2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>
      <alignment horizontal="right"/>
    </xf>
    <xf numFmtId="0" fontId="16" fillId="2" borderId="15" xfId="0" applyFont="1" applyFill="1" applyBorder="1" applyAlignment="1" applyProtection="1">
      <alignment horizontal="center"/>
      <protection locked="0"/>
    </xf>
    <xf numFmtId="0" fontId="15" fillId="0" borderId="13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171" fontId="14" fillId="0" borderId="17" xfId="0" applyNumberFormat="1" applyFont="1" applyFill="1" applyBorder="1" applyAlignment="1">
      <alignment horizontal="center"/>
    </xf>
    <xf numFmtId="171" fontId="14" fillId="0" borderId="20" xfId="0" applyNumberFormat="1" applyFont="1" applyFill="1" applyBorder="1" applyAlignment="1">
      <alignment horizontal="center"/>
    </xf>
    <xf numFmtId="0" fontId="22" fillId="0" borderId="7" xfId="0" applyFont="1" applyFill="1" applyBorder="1"/>
    <xf numFmtId="0" fontId="14" fillId="0" borderId="15" xfId="0" applyFont="1" applyFill="1" applyBorder="1" applyAlignment="1">
      <alignment horizontal="center"/>
    </xf>
    <xf numFmtId="0" fontId="16" fillId="2" borderId="14" xfId="0" applyFont="1" applyFill="1" applyBorder="1" applyAlignment="1" applyProtection="1">
      <alignment horizontal="center"/>
      <protection locked="0"/>
    </xf>
    <xf numFmtId="171" fontId="14" fillId="0" borderId="21" xfId="0" applyNumberFormat="1" applyFont="1" applyFill="1" applyBorder="1" applyAlignment="1">
      <alignment horizontal="center"/>
    </xf>
    <xf numFmtId="171" fontId="14" fillId="0" borderId="22" xfId="0" applyNumberFormat="1" applyFont="1" applyFill="1" applyBorder="1" applyAlignment="1">
      <alignment horizontal="center"/>
    </xf>
    <xf numFmtId="0" fontId="14" fillId="0" borderId="0" xfId="0" applyFont="1" applyFill="1"/>
    <xf numFmtId="0" fontId="14" fillId="0" borderId="23" xfId="0" applyFont="1" applyFill="1" applyBorder="1" applyAlignment="1">
      <alignment horizontal="center"/>
    </xf>
    <xf numFmtId="0" fontId="16" fillId="2" borderId="24" xfId="0" applyFont="1" applyFill="1" applyBorder="1" applyAlignment="1" applyProtection="1">
      <alignment horizontal="center"/>
      <protection locked="0"/>
    </xf>
    <xf numFmtId="171" fontId="14" fillId="0" borderId="25" xfId="0" applyNumberFormat="1" applyFont="1" applyFill="1" applyBorder="1" applyAlignment="1">
      <alignment horizontal="center"/>
    </xf>
    <xf numFmtId="171" fontId="14" fillId="0" borderId="26" xfId="0" applyNumberFormat="1" applyFont="1" applyFill="1" applyBorder="1" applyAlignment="1">
      <alignment horizontal="center"/>
    </xf>
    <xf numFmtId="0" fontId="14" fillId="0" borderId="9" xfId="0" applyFont="1" applyFill="1" applyBorder="1"/>
    <xf numFmtId="0" fontId="14" fillId="0" borderId="15" xfId="0" applyFont="1" applyFill="1" applyBorder="1" applyAlignment="1">
      <alignment horizontal="right"/>
    </xf>
    <xf numFmtId="1" fontId="15" fillId="3" borderId="27" xfId="0" applyNumberFormat="1" applyFont="1" applyFill="1" applyBorder="1" applyAlignment="1">
      <alignment horizontal="center"/>
    </xf>
    <xf numFmtId="171" fontId="15" fillId="3" borderId="28" xfId="0" applyNumberFormat="1" applyFont="1" applyFill="1" applyBorder="1" applyAlignment="1">
      <alignment horizontal="center"/>
    </xf>
    <xf numFmtId="171" fontId="15" fillId="3" borderId="29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4" fillId="0" borderId="30" xfId="0" applyFont="1" applyFill="1" applyBorder="1" applyAlignment="1">
      <alignment horizontal="right"/>
    </xf>
    <xf numFmtId="0" fontId="16" fillId="2" borderId="10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>
      <alignment horizontal="right"/>
    </xf>
    <xf numFmtId="2" fontId="14" fillId="3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15" xfId="0" applyFont="1" applyFill="1" applyBorder="1" applyAlignment="1">
      <alignment horizontal="center"/>
    </xf>
    <xf numFmtId="2" fontId="14" fillId="4" borderId="31" xfId="0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166" fontId="14" fillId="3" borderId="31" xfId="0" applyNumberFormat="1" applyFont="1" applyFill="1" applyBorder="1" applyAlignment="1">
      <alignment horizontal="center"/>
    </xf>
    <xf numFmtId="166" fontId="14" fillId="0" borderId="0" xfId="0" applyNumberFormat="1" applyFont="1" applyFill="1" applyAlignment="1">
      <alignment horizontal="center"/>
    </xf>
    <xf numFmtId="166" fontId="14" fillId="3" borderId="11" xfId="0" applyNumberFormat="1" applyFont="1" applyFill="1" applyBorder="1" applyAlignment="1">
      <alignment horizontal="center"/>
    </xf>
    <xf numFmtId="0" fontId="14" fillId="0" borderId="32" xfId="0" applyFont="1" applyFill="1" applyBorder="1" applyAlignment="1">
      <alignment horizontal="right"/>
    </xf>
    <xf numFmtId="166" fontId="16" fillId="2" borderId="31" xfId="0" applyNumberFormat="1" applyFont="1" applyFill="1" applyBorder="1" applyAlignment="1" applyProtection="1">
      <alignment horizontal="center"/>
      <protection locked="0"/>
    </xf>
    <xf numFmtId="166" fontId="14" fillId="0" borderId="0" xfId="0" applyNumberFormat="1" applyFont="1" applyFill="1"/>
    <xf numFmtId="0" fontId="14" fillId="0" borderId="33" xfId="0" applyFont="1" applyFill="1" applyBorder="1" applyAlignment="1">
      <alignment horizontal="right"/>
    </xf>
    <xf numFmtId="1" fontId="14" fillId="0" borderId="0" xfId="0" applyNumberFormat="1" applyFont="1" applyFill="1" applyAlignment="1">
      <alignment horizontal="center"/>
    </xf>
    <xf numFmtId="0" fontId="14" fillId="0" borderId="9" xfId="0" applyFont="1" applyFill="1" applyBorder="1" applyAlignment="1">
      <alignment horizontal="right"/>
    </xf>
    <xf numFmtId="2" fontId="14" fillId="3" borderId="9" xfId="0" applyNumberFormat="1" applyFont="1" applyFill="1" applyBorder="1" applyAlignment="1">
      <alignment horizontal="center"/>
    </xf>
    <xf numFmtId="171" fontId="15" fillId="4" borderId="7" xfId="0" applyNumberFormat="1" applyFont="1" applyFill="1" applyBorder="1" applyAlignment="1">
      <alignment horizontal="center"/>
    </xf>
    <xf numFmtId="171" fontId="14" fillId="0" borderId="0" xfId="0" applyNumberFormat="1" applyFont="1" applyFill="1" applyAlignment="1">
      <alignment horizontal="center"/>
    </xf>
    <xf numFmtId="10" fontId="14" fillId="3" borderId="31" xfId="0" applyNumberFormat="1" applyFont="1" applyFill="1" applyBorder="1" applyAlignment="1">
      <alignment horizontal="center"/>
    </xf>
    <xf numFmtId="0" fontId="14" fillId="0" borderId="34" xfId="0" applyFont="1" applyFill="1" applyBorder="1" applyAlignment="1">
      <alignment horizontal="right"/>
    </xf>
    <xf numFmtId="0" fontId="14" fillId="4" borderId="9" xfId="0" applyFont="1" applyFill="1" applyBorder="1" applyAlignment="1">
      <alignment horizontal="center"/>
    </xf>
    <xf numFmtId="0" fontId="18" fillId="0" borderId="0" xfId="0" applyFont="1" applyFill="1"/>
    <xf numFmtId="0" fontId="15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172" fontId="16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horizontal="center"/>
    </xf>
    <xf numFmtId="2" fontId="15" fillId="0" borderId="7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6" fillId="2" borderId="12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>
      <alignment horizontal="center"/>
    </xf>
    <xf numFmtId="1" fontId="16" fillId="2" borderId="14" xfId="0" applyNumberFormat="1" applyFont="1" applyFill="1" applyBorder="1" applyAlignment="1" applyProtection="1">
      <alignment horizontal="center"/>
      <protection locked="0"/>
    </xf>
    <xf numFmtId="0" fontId="14" fillId="0" borderId="9" xfId="0" applyFont="1" applyFill="1" applyBorder="1" applyAlignment="1">
      <alignment horizontal="center"/>
    </xf>
    <xf numFmtId="0" fontId="16" fillId="2" borderId="34" xfId="0" applyFont="1" applyFill="1" applyBorder="1" applyAlignment="1" applyProtection="1">
      <alignment horizontal="center"/>
      <protection locked="0"/>
    </xf>
    <xf numFmtId="0" fontId="17" fillId="0" borderId="15" xfId="0" applyFont="1" applyFill="1" applyBorder="1" applyAlignment="1">
      <alignment horizontal="center"/>
    </xf>
    <xf numFmtId="2" fontId="17" fillId="0" borderId="35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6" xfId="0" applyFont="1" applyFill="1" applyBorder="1" applyAlignment="1">
      <alignment horizontal="right"/>
    </xf>
    <xf numFmtId="0" fontId="14" fillId="0" borderId="31" xfId="0" applyFont="1" applyFill="1" applyBorder="1" applyAlignment="1">
      <alignment horizontal="right"/>
    </xf>
    <xf numFmtId="2" fontId="14" fillId="0" borderId="0" xfId="0" applyNumberFormat="1" applyFont="1" applyFill="1" applyAlignment="1">
      <alignment horizontal="center"/>
    </xf>
    <xf numFmtId="0" fontId="14" fillId="0" borderId="11" xfId="0" applyFont="1" applyFill="1" applyBorder="1" applyAlignment="1">
      <alignment horizontal="right"/>
    </xf>
    <xf numFmtId="0" fontId="16" fillId="4" borderId="37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4" fillId="0" borderId="0" xfId="0" applyFont="1" applyFill="1"/>
    <xf numFmtId="165" fontId="16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2" borderId="0" xfId="0" applyFont="1" applyFill="1" applyAlignment="1" applyProtection="1">
      <alignment horizontal="center"/>
      <protection locked="0"/>
    </xf>
    <xf numFmtId="0" fontId="15" fillId="0" borderId="38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4" fillId="0" borderId="39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171" fontId="16" fillId="2" borderId="24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Fill="1" applyAlignment="1">
      <alignment horizontal="right"/>
    </xf>
    <xf numFmtId="1" fontId="15" fillId="3" borderId="40" xfId="0" applyNumberFormat="1" applyFont="1" applyFill="1" applyBorder="1" applyAlignment="1">
      <alignment horizontal="center"/>
    </xf>
    <xf numFmtId="1" fontId="15" fillId="3" borderId="41" xfId="0" applyNumberFormat="1" applyFont="1" applyFill="1" applyBorder="1" applyAlignment="1">
      <alignment horizontal="center"/>
    </xf>
    <xf numFmtId="171" fontId="15" fillId="3" borderId="9" xfId="0" applyNumberFormat="1" applyFont="1" applyFill="1" applyBorder="1" applyAlignment="1">
      <alignment horizontal="center"/>
    </xf>
    <xf numFmtId="0" fontId="14" fillId="0" borderId="42" xfId="0" applyFont="1" applyFill="1" applyBorder="1" applyAlignment="1">
      <alignment horizontal="right"/>
    </xf>
    <xf numFmtId="0" fontId="16" fillId="2" borderId="43" xfId="0" applyFont="1" applyFill="1" applyBorder="1" applyAlignment="1" applyProtection="1">
      <alignment horizontal="center"/>
      <protection locked="0"/>
    </xf>
    <xf numFmtId="0" fontId="14" fillId="0" borderId="16" xfId="0" applyFont="1" applyFill="1" applyBorder="1" applyAlignment="1">
      <alignment horizontal="right"/>
    </xf>
    <xf numFmtId="2" fontId="14" fillId="3" borderId="18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2" fontId="14" fillId="4" borderId="18" xfId="0" applyNumberFormat="1" applyFont="1" applyFill="1" applyBorder="1" applyAlignment="1">
      <alignment horizontal="center"/>
    </xf>
    <xf numFmtId="166" fontId="14" fillId="3" borderId="18" xfId="0" applyNumberFormat="1" applyFont="1" applyFill="1" applyBorder="1" applyAlignment="1">
      <alignment horizontal="center"/>
    </xf>
    <xf numFmtId="0" fontId="7" fillId="0" borderId="0" xfId="0" applyFont="1" applyFill="1"/>
    <xf numFmtId="166" fontId="14" fillId="4" borderId="18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14" fillId="0" borderId="44" xfId="0" applyFont="1" applyFill="1" applyBorder="1" applyAlignment="1">
      <alignment horizontal="right"/>
    </xf>
    <xf numFmtId="2" fontId="14" fillId="4" borderId="20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4" fillId="0" borderId="10" xfId="0" applyFont="1" applyFill="1" applyBorder="1" applyAlignment="1">
      <alignment horizontal="right"/>
    </xf>
    <xf numFmtId="171" fontId="15" fillId="4" borderId="1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10" fontId="14" fillId="0" borderId="0" xfId="0" applyNumberFormat="1" applyFont="1" applyFill="1" applyAlignment="1">
      <alignment horizontal="center"/>
    </xf>
    <xf numFmtId="10" fontId="15" fillId="3" borderId="31" xfId="0" applyNumberFormat="1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 wrapText="1"/>
    </xf>
    <xf numFmtId="0" fontId="14" fillId="0" borderId="14" xfId="0" applyFont="1" applyFill="1" applyBorder="1" applyAlignment="1">
      <alignment horizontal="center"/>
    </xf>
    <xf numFmtId="0" fontId="14" fillId="0" borderId="14" xfId="0" applyFont="1" applyFill="1" applyBorder="1"/>
    <xf numFmtId="10" fontId="16" fillId="3" borderId="18" xfId="0" applyNumberFormat="1" applyFont="1" applyFill="1" applyBorder="1" applyAlignment="1">
      <alignment horizontal="center"/>
    </xf>
    <xf numFmtId="0" fontId="14" fillId="0" borderId="34" xfId="0" applyFont="1" applyFill="1" applyBorder="1"/>
    <xf numFmtId="0" fontId="23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Alignment="1">
      <alignment horizontal="right"/>
    </xf>
    <xf numFmtId="0" fontId="14" fillId="0" borderId="4" xfId="0" applyFont="1" applyFill="1" applyBorder="1"/>
    <xf numFmtId="0" fontId="14" fillId="0" borderId="4" xfId="0" applyFont="1" applyFill="1" applyBorder="1"/>
    <xf numFmtId="0" fontId="15" fillId="0" borderId="5" xfId="0" applyFont="1" applyFill="1" applyBorder="1"/>
    <xf numFmtId="0" fontId="14" fillId="0" borderId="5" xfId="0" applyFont="1" applyFill="1" applyBorder="1"/>
    <xf numFmtId="0" fontId="23" fillId="0" borderId="0" xfId="0" applyFont="1" applyFill="1" applyAlignment="1">
      <alignment horizontal="right" vertical="center" wrapText="1"/>
    </xf>
    <xf numFmtId="0" fontId="16" fillId="0" borderId="0" xfId="0" applyFont="1" applyFill="1" applyAlignment="1" applyProtection="1">
      <alignment horizontal="right"/>
      <protection locked="0"/>
    </xf>
    <xf numFmtId="166" fontId="15" fillId="0" borderId="0" xfId="0" applyNumberFormat="1" applyFont="1" applyFill="1" applyAlignment="1" applyProtection="1">
      <alignment horizontal="center"/>
      <protection locked="0"/>
    </xf>
    <xf numFmtId="166" fontId="14" fillId="0" borderId="12" xfId="0" applyNumberFormat="1" applyFont="1" applyFill="1" applyBorder="1" applyAlignment="1">
      <alignment horizontal="center"/>
    </xf>
    <xf numFmtId="166" fontId="14" fillId="0" borderId="14" xfId="0" applyNumberFormat="1" applyFont="1" applyFill="1" applyBorder="1" applyAlignment="1">
      <alignment horizontal="center"/>
    </xf>
    <xf numFmtId="166" fontId="14" fillId="0" borderId="7" xfId="0" applyNumberFormat="1" applyFont="1" applyFill="1" applyBorder="1" applyAlignment="1">
      <alignment horizontal="center"/>
    </xf>
    <xf numFmtId="166" fontId="14" fillId="0" borderId="8" xfId="0" applyNumberFormat="1" applyFont="1" applyFill="1" applyBorder="1" applyAlignment="1">
      <alignment horizontal="center"/>
    </xf>
    <xf numFmtId="166" fontId="14" fillId="0" borderId="9" xfId="0" applyNumberFormat="1" applyFont="1" applyFill="1" applyBorder="1" applyAlignment="1">
      <alignment horizontal="center"/>
    </xf>
    <xf numFmtId="10" fontId="16" fillId="3" borderId="45" xfId="0" applyNumberFormat="1" applyFont="1" applyFill="1" applyBorder="1" applyAlignment="1">
      <alignment horizontal="center"/>
    </xf>
    <xf numFmtId="2" fontId="16" fillId="4" borderId="23" xfId="0" applyNumberFormat="1" applyFont="1" applyFill="1" applyBorder="1" applyAlignment="1">
      <alignment horizontal="center"/>
    </xf>
    <xf numFmtId="0" fontId="17" fillId="0" borderId="0" xfId="0" applyFont="1" applyFill="1"/>
    <xf numFmtId="10" fontId="16" fillId="3" borderId="45" xfId="0" applyNumberFormat="1" applyFont="1" applyFill="1" applyBorder="1" applyAlignment="1">
      <alignment horizontal="center"/>
    </xf>
    <xf numFmtId="171" fontId="14" fillId="0" borderId="10" xfId="0" applyNumberFormat="1" applyFont="1" applyFill="1" applyBorder="1" applyAlignment="1">
      <alignment horizontal="right"/>
    </xf>
    <xf numFmtId="0" fontId="14" fillId="0" borderId="8" xfId="0" applyFont="1" applyFill="1" applyBorder="1" applyAlignment="1">
      <alignment horizontal="right"/>
    </xf>
    <xf numFmtId="2" fontId="16" fillId="4" borderId="46" xfId="0" applyNumberFormat="1" applyFont="1" applyFill="1" applyBorder="1" applyAlignment="1">
      <alignment horizontal="center"/>
    </xf>
    <xf numFmtId="0" fontId="14" fillId="0" borderId="7" xfId="0" applyFont="1" applyFill="1" applyBorder="1"/>
    <xf numFmtId="0" fontId="16" fillId="4" borderId="19" xfId="0" applyFont="1" applyFill="1" applyBorder="1" applyAlignment="1">
      <alignment horizontal="center"/>
    </xf>
    <xf numFmtId="0" fontId="16" fillId="4" borderId="47" xfId="0" applyFont="1" applyFill="1" applyBorder="1" applyAlignment="1">
      <alignment horizontal="center"/>
    </xf>
    <xf numFmtId="2" fontId="16" fillId="3" borderId="45" xfId="0" applyNumberFormat="1" applyFont="1" applyFill="1" applyBorder="1" applyAlignment="1">
      <alignment horizontal="center"/>
    </xf>
    <xf numFmtId="2" fontId="16" fillId="4" borderId="37" xfId="0" applyNumberFormat="1" applyFont="1" applyFill="1" applyBorder="1" applyAlignment="1">
      <alignment horizontal="center"/>
    </xf>
    <xf numFmtId="166" fontId="14" fillId="0" borderId="34" xfId="0" applyNumberFormat="1" applyFont="1" applyFill="1" applyBorder="1" applyAlignment="1">
      <alignment horizontal="center"/>
    </xf>
    <xf numFmtId="173" fontId="14" fillId="0" borderId="7" xfId="0" applyNumberFormat="1" applyFont="1" applyFill="1" applyBorder="1" applyAlignment="1">
      <alignment horizontal="center" vertical="center"/>
    </xf>
    <xf numFmtId="173" fontId="14" fillId="0" borderId="8" xfId="0" applyNumberFormat="1" applyFont="1" applyFill="1" applyBorder="1" applyAlignment="1">
      <alignment horizontal="center" vertical="center"/>
    </xf>
    <xf numFmtId="173" fontId="14" fillId="0" borderId="9" xfId="0" applyNumberFormat="1" applyFont="1" applyFill="1" applyBorder="1" applyAlignment="1">
      <alignment horizontal="center" vertical="center"/>
    </xf>
    <xf numFmtId="173" fontId="16" fillId="4" borderId="23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1" fontId="16" fillId="2" borderId="8" xfId="0" applyNumberFormat="1" applyFont="1" applyFill="1" applyBorder="1" applyAlignment="1" applyProtection="1">
      <alignment horizontal="center"/>
      <protection locked="0"/>
    </xf>
    <xf numFmtId="1" fontId="16" fillId="2" borderId="9" xfId="0" applyNumberFormat="1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>
      <alignment horizontal="center"/>
    </xf>
    <xf numFmtId="1" fontId="16" fillId="2" borderId="7" xfId="0" applyNumberFormat="1" applyFont="1" applyFill="1" applyBorder="1" applyAlignment="1" applyProtection="1">
      <alignment horizontal="center"/>
      <protection locked="0"/>
    </xf>
    <xf numFmtId="173" fontId="14" fillId="0" borderId="13" xfId="0" applyNumberFormat="1" applyFont="1" applyFill="1" applyBorder="1" applyAlignment="1">
      <alignment horizontal="center"/>
    </xf>
    <xf numFmtId="173" fontId="14" fillId="0" borderId="15" xfId="0" applyNumberFormat="1" applyFont="1" applyFill="1" applyBorder="1" applyAlignment="1">
      <alignment horizontal="center"/>
    </xf>
    <xf numFmtId="173" fontId="14" fillId="0" borderId="35" xfId="0" applyNumberFormat="1" applyFont="1" applyFill="1" applyBorder="1" applyAlignment="1">
      <alignment horizontal="center"/>
    </xf>
    <xf numFmtId="173" fontId="14" fillId="0" borderId="15" xfId="0" applyNumberFormat="1" applyFont="1" applyFill="1" applyBorder="1" applyAlignment="1">
      <alignment horizontal="center"/>
    </xf>
    <xf numFmtId="174" fontId="16" fillId="4" borderId="43" xfId="0" applyNumberFormat="1" applyFont="1" applyFill="1" applyBorder="1" applyAlignment="1">
      <alignment horizontal="center"/>
    </xf>
    <xf numFmtId="174" fontId="16" fillId="3" borderId="45" xfId="0" applyNumberFormat="1" applyFont="1" applyFill="1" applyBorder="1" applyAlignment="1">
      <alignment horizontal="center"/>
    </xf>
    <xf numFmtId="174" fontId="16" fillId="4" borderId="37" xfId="0" applyNumberFormat="1" applyFont="1" applyFill="1" applyBorder="1" applyAlignment="1">
      <alignment horizontal="center"/>
    </xf>
    <xf numFmtId="175" fontId="24" fillId="0" borderId="0" xfId="0" applyNumberFormat="1" applyFont="1" applyFill="1" applyAlignment="1">
      <alignment horizontal="center"/>
    </xf>
    <xf numFmtId="174" fontId="16" fillId="0" borderId="0" xfId="0" applyNumberFormat="1" applyFont="1" applyFill="1" applyAlignment="1">
      <alignment horizontal="center"/>
    </xf>
    <xf numFmtId="0" fontId="6" fillId="0" borderId="0" xfId="1" applyFont="1" applyFill="1"/>
    <xf numFmtId="0" fontId="7" fillId="0" borderId="0" xfId="1" applyFont="1" applyFill="1"/>
    <xf numFmtId="0" fontId="7" fillId="0" borderId="0" xfId="1" applyFont="1" applyFill="1" applyAlignment="1">
      <alignment horizontal="right"/>
    </xf>
    <xf numFmtId="0" fontId="11" fillId="0" borderId="0" xfId="1" applyFont="1" applyFill="1"/>
    <xf numFmtId="0" fontId="11" fillId="0" borderId="0" xfId="1" applyFont="1" applyFill="1" applyAlignment="1">
      <alignment horizontal="left"/>
    </xf>
    <xf numFmtId="0" fontId="8" fillId="0" borderId="0" xfId="1" applyFont="1" applyFill="1" applyAlignment="1">
      <alignment horizontal="left"/>
    </xf>
    <xf numFmtId="0" fontId="8" fillId="0" borderId="0" xfId="1" applyFont="1" applyFill="1" applyAlignment="1">
      <alignment horizontal="center"/>
    </xf>
    <xf numFmtId="0" fontId="9" fillId="0" borderId="0" xfId="1" applyFont="1" applyFill="1"/>
    <xf numFmtId="0" fontId="8" fillId="0" borderId="0" xfId="1" applyFont="1" applyFill="1"/>
    <xf numFmtId="2" fontId="8" fillId="0" borderId="0" xfId="1" applyNumberFormat="1" applyFont="1" applyFill="1" applyAlignment="1">
      <alignment horizontal="center"/>
    </xf>
    <xf numFmtId="164" fontId="8" fillId="0" borderId="0" xfId="1" applyNumberFormat="1" applyFont="1" applyFill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8" fillId="0" borderId="48" xfId="1" applyFont="1" applyFill="1" applyBorder="1" applyAlignment="1">
      <alignment horizontal="center"/>
    </xf>
    <xf numFmtId="0" fontId="9" fillId="0" borderId="49" xfId="1" applyFont="1" applyFill="1" applyBorder="1" applyAlignment="1">
      <alignment horizontal="center"/>
    </xf>
    <xf numFmtId="0" fontId="25" fillId="2" borderId="49" xfId="1" applyFont="1" applyFill="1" applyBorder="1" applyAlignment="1" applyProtection="1">
      <alignment horizontal="center"/>
      <protection locked="0"/>
    </xf>
    <xf numFmtId="2" fontId="25" fillId="2" borderId="49" xfId="1" applyNumberFormat="1" applyFont="1" applyFill="1" applyBorder="1" applyAlignment="1" applyProtection="1">
      <alignment horizontal="center"/>
      <protection locked="0"/>
    </xf>
    <xf numFmtId="2" fontId="25" fillId="2" borderId="50" xfId="1" applyNumberFormat="1" applyFont="1" applyFill="1" applyBorder="1" applyAlignment="1" applyProtection="1">
      <alignment horizontal="center"/>
      <protection locked="0"/>
    </xf>
    <xf numFmtId="0" fontId="25" fillId="2" borderId="51" xfId="1" applyFont="1" applyFill="1" applyBorder="1" applyAlignment="1" applyProtection="1">
      <alignment horizontal="center"/>
      <protection locked="0"/>
    </xf>
    <xf numFmtId="2" fontId="25" fillId="2" borderId="51" xfId="1" applyNumberFormat="1" applyFont="1" applyFill="1" applyBorder="1" applyAlignment="1" applyProtection="1">
      <alignment horizontal="center"/>
      <protection locked="0"/>
    </xf>
    <xf numFmtId="0" fontId="9" fillId="0" borderId="50" xfId="1" applyFont="1" applyFill="1" applyBorder="1"/>
    <xf numFmtId="1" fontId="8" fillId="5" borderId="48" xfId="1" applyNumberFormat="1" applyFont="1" applyFill="1" applyBorder="1" applyAlignment="1">
      <alignment horizontal="center"/>
    </xf>
    <xf numFmtId="1" fontId="8" fillId="5" borderId="1" xfId="1" applyNumberFormat="1" applyFont="1" applyFill="1" applyBorder="1" applyAlignment="1">
      <alignment horizontal="center"/>
    </xf>
    <xf numFmtId="2" fontId="8" fillId="5" borderId="1" xfId="1" applyNumberFormat="1" applyFont="1" applyFill="1" applyBorder="1" applyAlignment="1">
      <alignment horizontal="center"/>
    </xf>
    <xf numFmtId="0" fontId="9" fillId="0" borderId="49" xfId="1" applyFont="1" applyFill="1" applyBorder="1"/>
    <xf numFmtId="10" fontId="8" fillId="6" borderId="1" xfId="1" applyNumberFormat="1" applyFont="1" applyFill="1" applyBorder="1" applyAlignment="1">
      <alignment horizontal="center"/>
    </xf>
    <xf numFmtId="165" fontId="8" fillId="0" borderId="0" xfId="1" applyNumberFormat="1" applyFont="1" applyFill="1" applyAlignment="1">
      <alignment horizontal="center"/>
    </xf>
    <xf numFmtId="0" fontId="9" fillId="0" borderId="52" xfId="1" applyFont="1" applyFill="1" applyBorder="1"/>
    <xf numFmtId="0" fontId="9" fillId="0" borderId="51" xfId="1" applyFont="1" applyFill="1" applyBorder="1"/>
    <xf numFmtId="0" fontId="8" fillId="5" borderId="1" xfId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0" fontId="9" fillId="0" borderId="4" xfId="1" applyFont="1" applyFill="1" applyBorder="1"/>
    <xf numFmtId="0" fontId="9" fillId="0" borderId="53" xfId="1" applyFont="1" applyFill="1" applyBorder="1"/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Protection="1">
      <protection locked="0"/>
    </xf>
    <xf numFmtId="0" fontId="7" fillId="0" borderId="2" xfId="1" applyFont="1" applyFill="1" applyBorder="1"/>
    <xf numFmtId="0" fontId="7" fillId="0" borderId="0" xfId="1" applyFont="1" applyFill="1" applyAlignment="1">
      <alignment horizontal="center"/>
    </xf>
    <xf numFmtId="10" fontId="7" fillId="0" borderId="2" xfId="1" applyNumberFormat="1" applyFont="1" applyFill="1" applyBorder="1"/>
    <xf numFmtId="0" fontId="5" fillId="0" borderId="0" xfId="1" applyFill="1"/>
    <xf numFmtId="0" fontId="6" fillId="0" borderId="3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6" fillId="0" borderId="0" xfId="1" applyFont="1" applyFill="1" applyAlignment="1">
      <alignment horizontal="right"/>
    </xf>
    <xf numFmtId="0" fontId="7" fillId="0" borderId="4" xfId="1" applyFont="1" applyFill="1" applyBorder="1"/>
    <xf numFmtId="0" fontId="6" fillId="0" borderId="5" xfId="1" applyFont="1" applyFill="1" applyBorder="1"/>
    <xf numFmtId="0" fontId="7" fillId="0" borderId="5" xfId="1" applyFont="1" applyFill="1" applyBorder="1"/>
    <xf numFmtId="0" fontId="7" fillId="0" borderId="4" xfId="1" applyFont="1" applyFill="1" applyBorder="1"/>
    <xf numFmtId="0" fontId="9" fillId="0" borderId="0" xfId="0" applyFont="1" applyFill="1"/>
    <xf numFmtId="0" fontId="16" fillId="2" borderId="33" xfId="0" applyFont="1" applyFill="1" applyBorder="1" applyAlignment="1" applyProtection="1">
      <alignment horizontal="center"/>
      <protection locked="0"/>
    </xf>
    <xf numFmtId="0" fontId="16" fillId="2" borderId="14" xfId="0" applyFont="1" applyFill="1" applyBorder="1" applyAlignment="1" applyProtection="1">
      <alignment horizontal="center"/>
      <protection locked="0"/>
    </xf>
    <xf numFmtId="0" fontId="16" fillId="2" borderId="13" xfId="0" applyFont="1" applyFill="1" applyBorder="1" applyAlignment="1" applyProtection="1">
      <alignment horizontal="center"/>
      <protection locked="0"/>
    </xf>
    <xf numFmtId="0" fontId="16" fillId="2" borderId="15" xfId="0" applyFont="1" applyFill="1" applyBorder="1" applyAlignment="1" applyProtection="1">
      <alignment horizontal="center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8" fillId="0" borderId="0" xfId="1" applyFont="1" applyFill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8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166" fontId="8" fillId="0" borderId="7" xfId="0" applyNumberFormat="1" applyFont="1" applyFill="1" applyBorder="1" applyAlignment="1">
      <alignment horizontal="center" vertical="center"/>
    </xf>
    <xf numFmtId="166" fontId="8" fillId="0" borderId="9" xfId="0" applyNumberFormat="1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wrapText="1"/>
    </xf>
    <xf numFmtId="0" fontId="13" fillId="0" borderId="55" xfId="0" applyFont="1" applyFill="1" applyBorder="1" applyAlignment="1">
      <alignment horizontal="center" wrapText="1"/>
    </xf>
    <xf numFmtId="0" fontId="13" fillId="0" borderId="56" xfId="0" applyFont="1" applyFill="1" applyBorder="1" applyAlignment="1">
      <alignment horizontal="center" wrapText="1"/>
    </xf>
    <xf numFmtId="164" fontId="6" fillId="0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3" fillId="0" borderId="12" xfId="0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horizontal="left" vertical="center" wrapText="1"/>
    </xf>
    <xf numFmtId="0" fontId="23" fillId="0" borderId="34" xfId="0" applyFont="1" applyFill="1" applyBorder="1" applyAlignment="1">
      <alignment horizontal="left" vertical="center" wrapText="1"/>
    </xf>
    <xf numFmtId="0" fontId="23" fillId="0" borderId="3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3" fillId="0" borderId="54" xfId="0" applyFont="1" applyFill="1" applyBorder="1" applyAlignment="1">
      <alignment horizontal="justify" vertical="center" wrapText="1"/>
    </xf>
    <xf numFmtId="0" fontId="23" fillId="0" borderId="55" xfId="0" applyFont="1" applyFill="1" applyBorder="1" applyAlignment="1">
      <alignment horizontal="justify" vertical="center" wrapText="1"/>
    </xf>
    <xf numFmtId="0" fontId="23" fillId="0" borderId="56" xfId="0" applyFont="1" applyFill="1" applyBorder="1" applyAlignment="1">
      <alignment horizontal="justify" vertical="center" wrapText="1"/>
    </xf>
    <xf numFmtId="0" fontId="23" fillId="0" borderId="54" xfId="0" applyFont="1" applyFill="1" applyBorder="1" applyAlignment="1">
      <alignment horizontal="left" vertical="center" wrapText="1"/>
    </xf>
    <xf numFmtId="0" fontId="23" fillId="0" borderId="55" xfId="0" applyFont="1" applyFill="1" applyBorder="1" applyAlignment="1">
      <alignment horizontal="left" vertical="center" wrapText="1"/>
    </xf>
    <xf numFmtId="0" fontId="23" fillId="0" borderId="56" xfId="0" applyFont="1" applyFill="1" applyBorder="1" applyAlignment="1">
      <alignment horizontal="left" vertical="center" wrapText="1"/>
    </xf>
    <xf numFmtId="0" fontId="15" fillId="0" borderId="38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10" fontId="19" fillId="0" borderId="8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34" xfId="0" applyFont="1" applyFill="1" applyBorder="1" applyAlignment="1">
      <alignment horizontal="center" vertical="center"/>
    </xf>
    <xf numFmtId="2" fontId="16" fillId="2" borderId="7" xfId="0" applyNumberFormat="1" applyFont="1" applyFill="1" applyBorder="1" applyAlignment="1" applyProtection="1">
      <alignment horizontal="center" vertical="center"/>
      <protection locked="0"/>
    </xf>
    <xf numFmtId="2" fontId="16" fillId="2" borderId="8" xfId="0" applyNumberFormat="1" applyFont="1" applyFill="1" applyBorder="1" applyAlignment="1" applyProtection="1">
      <alignment horizontal="center" vertical="center"/>
      <protection locked="0"/>
    </xf>
    <xf numFmtId="2" fontId="16" fillId="2" borderId="9" xfId="0" applyNumberFormat="1" applyFont="1" applyFill="1" applyBorder="1" applyAlignment="1" applyProtection="1">
      <alignment horizontal="center" vertical="center"/>
      <protection locked="0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17" fillId="2" borderId="0" xfId="0" applyFont="1" applyFill="1" applyAlignment="1" applyProtection="1">
      <alignment horizontal="left"/>
      <protection locked="0"/>
    </xf>
    <xf numFmtId="0" fontId="15" fillId="0" borderId="2" xfId="0" applyFont="1" applyFill="1" applyBorder="1" applyAlignment="1">
      <alignment horizontal="center" vertical="center"/>
    </xf>
    <xf numFmtId="0" fontId="16" fillId="2" borderId="0" xfId="0" applyFont="1" applyFill="1" applyAlignment="1" applyProtection="1">
      <alignment horizontal="left" wrapText="1"/>
      <protection locked="0"/>
    </xf>
    <xf numFmtId="0" fontId="23" fillId="0" borderId="54" xfId="0" applyFont="1" applyFill="1" applyBorder="1" applyAlignment="1">
      <alignment horizontal="center"/>
    </xf>
    <xf numFmtId="0" fontId="23" fillId="0" borderId="55" xfId="0" applyFont="1" applyFill="1" applyBorder="1" applyAlignment="1">
      <alignment horizontal="center"/>
    </xf>
    <xf numFmtId="0" fontId="23" fillId="0" borderId="56" xfId="0" applyFont="1" applyFill="1" applyBorder="1" applyAlignment="1">
      <alignment horizontal="center"/>
    </xf>
    <xf numFmtId="0" fontId="28" fillId="0" borderId="3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left" wrapText="1"/>
      <protection locked="0"/>
    </xf>
    <xf numFmtId="0" fontId="15" fillId="0" borderId="30" xfId="0" applyFont="1" applyFill="1" applyBorder="1" applyAlignment="1">
      <alignment horizontal="center"/>
    </xf>
    <xf numFmtId="0" fontId="16" fillId="2" borderId="0" xfId="0" applyFont="1" applyFill="1" applyAlignment="1" applyProtection="1">
      <alignment horizontal="left"/>
      <protection locked="0"/>
    </xf>
    <xf numFmtId="0" fontId="15" fillId="0" borderId="38" xfId="0" applyFont="1" applyFill="1" applyBorder="1" applyAlignment="1">
      <alignment horizontal="center" vertical="center"/>
    </xf>
    <xf numFmtId="0" fontId="15" fillId="0" borderId="4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8"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0" workbookViewId="0">
      <selection activeCell="D43" sqref="D43"/>
    </sheetView>
  </sheetViews>
  <sheetFormatPr defaultColWidth="9.109375" defaultRowHeight="13.8" x14ac:dyDescent="0.3"/>
  <cols>
    <col min="1" max="1" width="27.5546875" style="425" customWidth="1"/>
    <col min="2" max="2" width="20.44140625" style="425" customWidth="1"/>
    <col min="3" max="3" width="31.88671875" style="425" customWidth="1"/>
    <col min="4" max="4" width="25.88671875" style="425" customWidth="1"/>
    <col min="5" max="5" width="25.6640625" style="425" customWidth="1"/>
    <col min="6" max="6" width="23.109375" style="425" customWidth="1"/>
    <col min="7" max="7" width="28.44140625" style="425" customWidth="1"/>
    <col min="8" max="8" width="21.5546875" style="425" customWidth="1"/>
    <col min="9" max="9" width="9.109375" style="425" customWidth="1"/>
    <col min="10" max="16384" width="9.109375" style="461"/>
  </cols>
  <sheetData>
    <row r="14" spans="1:6" ht="15" customHeight="1" x14ac:dyDescent="0.3">
      <c r="A14" s="424"/>
      <c r="C14" s="426"/>
      <c r="F14" s="426"/>
    </row>
    <row r="15" spans="1:6" ht="18.75" customHeight="1" x14ac:dyDescent="0.35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427" t="s">
        <v>1</v>
      </c>
      <c r="B16" s="428" t="s">
        <v>2</v>
      </c>
    </row>
    <row r="17" spans="1:6" ht="16.5" customHeight="1" x14ac:dyDescent="0.3">
      <c r="A17" s="429" t="s">
        <v>3</v>
      </c>
      <c r="B17" s="429" t="s">
        <v>142</v>
      </c>
      <c r="D17" s="430"/>
      <c r="E17" s="431"/>
    </row>
    <row r="18" spans="1:6" ht="16.5" customHeight="1" x14ac:dyDescent="0.3">
      <c r="A18" s="432" t="s">
        <v>4</v>
      </c>
      <c r="B18" s="459" t="s">
        <v>131</v>
      </c>
      <c r="C18" s="431"/>
      <c r="D18" s="431"/>
      <c r="E18" s="431"/>
    </row>
    <row r="19" spans="1:6" ht="16.5" customHeight="1" x14ac:dyDescent="0.3">
      <c r="A19" s="432" t="s">
        <v>6</v>
      </c>
      <c r="B19" s="433">
        <v>99.02</v>
      </c>
      <c r="C19" s="431"/>
      <c r="D19" s="431"/>
      <c r="E19" s="431"/>
    </row>
    <row r="20" spans="1:6" ht="16.5" customHeight="1" x14ac:dyDescent="0.3">
      <c r="A20" s="429" t="s">
        <v>8</v>
      </c>
      <c r="B20" s="433">
        <v>16.23</v>
      </c>
      <c r="C20" s="431"/>
      <c r="D20" s="431"/>
      <c r="E20" s="431"/>
    </row>
    <row r="21" spans="1:6" ht="16.5" customHeight="1" x14ac:dyDescent="0.3">
      <c r="A21" s="429" t="s">
        <v>10</v>
      </c>
      <c r="B21" s="434">
        <f>B20/100</f>
        <v>0.1623</v>
      </c>
      <c r="C21" s="431"/>
      <c r="D21" s="431"/>
      <c r="E21" s="431"/>
    </row>
    <row r="22" spans="1:6" ht="15.75" customHeight="1" x14ac:dyDescent="0.3">
      <c r="A22" s="431"/>
      <c r="B22" s="431"/>
      <c r="C22" s="431"/>
      <c r="D22" s="431"/>
      <c r="E22" s="431"/>
    </row>
    <row r="23" spans="1:6" ht="16.5" customHeight="1" x14ac:dyDescent="0.3">
      <c r="A23" s="435" t="s">
        <v>13</v>
      </c>
      <c r="B23" s="436" t="s">
        <v>14</v>
      </c>
      <c r="C23" s="435" t="s">
        <v>15</v>
      </c>
      <c r="D23" s="435" t="s">
        <v>16</v>
      </c>
      <c r="E23" s="435" t="s">
        <v>17</v>
      </c>
      <c r="F23" s="435" t="s">
        <v>135</v>
      </c>
    </row>
    <row r="24" spans="1:6" ht="16.5" customHeight="1" x14ac:dyDescent="0.3">
      <c r="A24" s="437">
        <v>1</v>
      </c>
      <c r="B24" s="438">
        <v>67953333</v>
      </c>
      <c r="C24" s="438">
        <v>12787.3</v>
      </c>
      <c r="D24" s="439">
        <v>1</v>
      </c>
      <c r="E24" s="440">
        <v>11.2</v>
      </c>
      <c r="F24" s="440">
        <v>20.6</v>
      </c>
    </row>
    <row r="25" spans="1:6" ht="16.5" customHeight="1" x14ac:dyDescent="0.3">
      <c r="A25" s="437">
        <v>2</v>
      </c>
      <c r="B25" s="438">
        <v>67869623</v>
      </c>
      <c r="C25" s="438">
        <v>12793.7</v>
      </c>
      <c r="D25" s="439">
        <v>1</v>
      </c>
      <c r="E25" s="439">
        <v>11.2</v>
      </c>
      <c r="F25" s="439">
        <v>20.6</v>
      </c>
    </row>
    <row r="26" spans="1:6" ht="16.5" customHeight="1" x14ac:dyDescent="0.3">
      <c r="A26" s="437">
        <v>3</v>
      </c>
      <c r="B26" s="438">
        <v>67814343</v>
      </c>
      <c r="C26" s="438">
        <v>12790.7</v>
      </c>
      <c r="D26" s="439">
        <v>1</v>
      </c>
      <c r="E26" s="439">
        <v>11.2</v>
      </c>
      <c r="F26" s="439">
        <v>20.6</v>
      </c>
    </row>
    <row r="27" spans="1:6" ht="16.5" customHeight="1" x14ac:dyDescent="0.3">
      <c r="A27" s="437">
        <v>4</v>
      </c>
      <c r="B27" s="438">
        <v>67892285</v>
      </c>
      <c r="C27" s="438">
        <v>12752.1</v>
      </c>
      <c r="D27" s="439">
        <v>1</v>
      </c>
      <c r="E27" s="439">
        <v>11.3</v>
      </c>
      <c r="F27" s="439">
        <v>20.6</v>
      </c>
    </row>
    <row r="28" spans="1:6" ht="16.5" customHeight="1" x14ac:dyDescent="0.3">
      <c r="A28" s="437">
        <v>5</v>
      </c>
      <c r="B28" s="438">
        <v>68058355</v>
      </c>
      <c r="C28" s="438">
        <v>12713.9</v>
      </c>
      <c r="D28" s="439">
        <v>1</v>
      </c>
      <c r="E28" s="439">
        <v>11.3</v>
      </c>
      <c r="F28" s="439">
        <v>20.6</v>
      </c>
    </row>
    <row r="29" spans="1:6" ht="16.5" customHeight="1" x14ac:dyDescent="0.3">
      <c r="A29" s="437">
        <v>6</v>
      </c>
      <c r="B29" s="441">
        <v>68023947</v>
      </c>
      <c r="C29" s="441">
        <v>12760.5</v>
      </c>
      <c r="D29" s="442">
        <v>1</v>
      </c>
      <c r="E29" s="442">
        <v>11.3</v>
      </c>
      <c r="F29" s="442">
        <v>20.6</v>
      </c>
    </row>
    <row r="30" spans="1:6" ht="16.5" customHeight="1" x14ac:dyDescent="0.3">
      <c r="A30" s="443" t="s">
        <v>18</v>
      </c>
      <c r="B30" s="444">
        <f>AVERAGE(B24:B29)</f>
        <v>67935314.333333328</v>
      </c>
      <c r="C30" s="445">
        <f>AVERAGE(C24:C29)</f>
        <v>12766.366666666667</v>
      </c>
      <c r="D30" s="446">
        <f>AVERAGE(D24:D29)</f>
        <v>1</v>
      </c>
      <c r="E30" s="446">
        <f>AVERAGE(E24:E29)</f>
        <v>11.249999999999998</v>
      </c>
      <c r="F30" s="446">
        <v>20.6</v>
      </c>
    </row>
    <row r="31" spans="1:6" ht="16.5" customHeight="1" x14ac:dyDescent="0.3">
      <c r="A31" s="447" t="s">
        <v>19</v>
      </c>
      <c r="B31" s="448">
        <f>(STDEV(B24:B29)/B30)</f>
        <v>1.3827350172788118E-3</v>
      </c>
      <c r="C31" s="449"/>
      <c r="D31" s="449"/>
      <c r="E31" s="450"/>
      <c r="F31" s="450"/>
    </row>
    <row r="32" spans="1:6" s="425" customFormat="1" ht="16.5" customHeight="1" x14ac:dyDescent="0.3">
      <c r="A32" s="451" t="s">
        <v>20</v>
      </c>
      <c r="B32" s="452">
        <f>COUNT(B24:B29)</f>
        <v>6</v>
      </c>
      <c r="C32" s="453"/>
      <c r="D32" s="454"/>
      <c r="E32" s="455"/>
      <c r="F32" s="455"/>
    </row>
    <row r="33" spans="1:6" s="425" customFormat="1" ht="15.75" customHeight="1" x14ac:dyDescent="0.3">
      <c r="A33" s="431"/>
      <c r="B33" s="431"/>
      <c r="C33" s="431"/>
      <c r="D33" s="431"/>
      <c r="E33" s="431"/>
    </row>
    <row r="34" spans="1:6" s="425" customFormat="1" ht="16.5" customHeight="1" x14ac:dyDescent="0.3">
      <c r="A34" s="432" t="s">
        <v>21</v>
      </c>
      <c r="B34" s="456" t="s">
        <v>22</v>
      </c>
      <c r="C34" s="457"/>
      <c r="D34" s="457"/>
      <c r="E34" s="457"/>
    </row>
    <row r="35" spans="1:6" ht="16.5" customHeight="1" x14ac:dyDescent="0.3">
      <c r="A35" s="432"/>
      <c r="B35" s="456" t="s">
        <v>23</v>
      </c>
      <c r="C35" s="457"/>
      <c r="D35" s="457"/>
      <c r="E35" s="457"/>
    </row>
    <row r="36" spans="1:6" ht="16.5" customHeight="1" x14ac:dyDescent="0.3">
      <c r="A36" s="432"/>
      <c r="B36" s="456" t="s">
        <v>24</v>
      </c>
      <c r="C36" s="457"/>
      <c r="D36" s="457"/>
      <c r="E36" s="457"/>
    </row>
    <row r="37" spans="1:6" ht="15.75" customHeight="1" x14ac:dyDescent="0.3">
      <c r="A37" s="431"/>
      <c r="B37" s="469" t="s">
        <v>136</v>
      </c>
      <c r="C37" s="431"/>
      <c r="D37" s="431"/>
      <c r="E37" s="431"/>
    </row>
    <row r="38" spans="1:6" ht="16.5" customHeight="1" x14ac:dyDescent="0.3">
      <c r="A38" s="427" t="s">
        <v>1</v>
      </c>
      <c r="B38" s="428" t="s">
        <v>25</v>
      </c>
    </row>
    <row r="39" spans="1:6" ht="16.5" customHeight="1" x14ac:dyDescent="0.3">
      <c r="A39" s="432" t="s">
        <v>4</v>
      </c>
      <c r="B39" s="429" t="s">
        <v>131</v>
      </c>
      <c r="C39" s="431"/>
      <c r="D39" s="431"/>
      <c r="E39" s="431"/>
    </row>
    <row r="40" spans="1:6" ht="16.5" customHeight="1" x14ac:dyDescent="0.3">
      <c r="A40" s="432" t="s">
        <v>6</v>
      </c>
      <c r="B40" s="433">
        <v>99.02</v>
      </c>
      <c r="C40" s="431"/>
      <c r="D40" s="431"/>
      <c r="E40" s="431"/>
    </row>
    <row r="41" spans="1:6" ht="16.5" customHeight="1" x14ac:dyDescent="0.3">
      <c r="A41" s="429" t="s">
        <v>8</v>
      </c>
      <c r="B41" s="433">
        <v>16.23</v>
      </c>
      <c r="C41" s="431"/>
      <c r="D41" s="431"/>
      <c r="E41" s="431"/>
    </row>
    <row r="42" spans="1:6" ht="16.5" customHeight="1" x14ac:dyDescent="0.3">
      <c r="A42" s="429" t="s">
        <v>10</v>
      </c>
      <c r="B42" s="434">
        <v>0.16</v>
      </c>
      <c r="C42" s="431"/>
      <c r="D42" s="431"/>
      <c r="E42" s="431"/>
    </row>
    <row r="43" spans="1:6" ht="15.75" customHeight="1" x14ac:dyDescent="0.3">
      <c r="A43" s="431"/>
      <c r="B43" s="431"/>
      <c r="C43" s="431"/>
      <c r="D43" s="431"/>
      <c r="E43" s="431"/>
    </row>
    <row r="44" spans="1:6" ht="16.5" customHeight="1" x14ac:dyDescent="0.3">
      <c r="A44" s="435" t="s">
        <v>13</v>
      </c>
      <c r="B44" s="436" t="s">
        <v>14</v>
      </c>
      <c r="C44" s="435" t="s">
        <v>15</v>
      </c>
      <c r="D44" s="435" t="s">
        <v>16</v>
      </c>
      <c r="E44" s="435" t="s">
        <v>17</v>
      </c>
      <c r="F44" s="435" t="s">
        <v>135</v>
      </c>
    </row>
    <row r="45" spans="1:6" ht="16.5" customHeight="1" x14ac:dyDescent="0.3">
      <c r="A45" s="437">
        <v>1</v>
      </c>
      <c r="B45" s="438">
        <v>67953333</v>
      </c>
      <c r="C45" s="438">
        <v>12787.3</v>
      </c>
      <c r="D45" s="439">
        <v>1</v>
      </c>
      <c r="E45" s="440">
        <v>11.2</v>
      </c>
      <c r="F45" s="440">
        <v>20.6</v>
      </c>
    </row>
    <row r="46" spans="1:6" ht="16.5" customHeight="1" x14ac:dyDescent="0.3">
      <c r="A46" s="437">
        <v>2</v>
      </c>
      <c r="B46" s="438">
        <v>67869623</v>
      </c>
      <c r="C46" s="438">
        <v>12793.7</v>
      </c>
      <c r="D46" s="439">
        <v>1</v>
      </c>
      <c r="E46" s="439">
        <v>11.2</v>
      </c>
      <c r="F46" s="439">
        <v>20.6</v>
      </c>
    </row>
    <row r="47" spans="1:6" ht="16.5" customHeight="1" x14ac:dyDescent="0.3">
      <c r="A47" s="437">
        <v>3</v>
      </c>
      <c r="B47" s="438">
        <v>67814343</v>
      </c>
      <c r="C47" s="438">
        <v>12790.7</v>
      </c>
      <c r="D47" s="439">
        <v>1</v>
      </c>
      <c r="E47" s="439">
        <v>11.2</v>
      </c>
      <c r="F47" s="439">
        <v>20.6</v>
      </c>
    </row>
    <row r="48" spans="1:6" ht="16.5" customHeight="1" x14ac:dyDescent="0.3">
      <c r="A48" s="437">
        <v>4</v>
      </c>
      <c r="B48" s="438">
        <v>67892285</v>
      </c>
      <c r="C48" s="438">
        <v>12752.1</v>
      </c>
      <c r="D48" s="439">
        <v>1</v>
      </c>
      <c r="E48" s="439">
        <v>11.3</v>
      </c>
      <c r="F48" s="439">
        <v>20.6</v>
      </c>
    </row>
    <row r="49" spans="1:7" ht="16.5" customHeight="1" x14ac:dyDescent="0.3">
      <c r="A49" s="437">
        <v>5</v>
      </c>
      <c r="B49" s="438">
        <v>68058355</v>
      </c>
      <c r="C49" s="438">
        <v>12713.9</v>
      </c>
      <c r="D49" s="439">
        <v>1</v>
      </c>
      <c r="E49" s="439">
        <v>11.3</v>
      </c>
      <c r="F49" s="439">
        <v>20.6</v>
      </c>
    </row>
    <row r="50" spans="1:7" ht="16.5" customHeight="1" x14ac:dyDescent="0.3">
      <c r="A50" s="437">
        <v>6</v>
      </c>
      <c r="B50" s="441">
        <v>68023947</v>
      </c>
      <c r="C50" s="441">
        <v>12760.5</v>
      </c>
      <c r="D50" s="442">
        <v>1</v>
      </c>
      <c r="E50" s="442">
        <v>11.3</v>
      </c>
      <c r="F50" s="442">
        <v>20.6</v>
      </c>
    </row>
    <row r="51" spans="1:7" ht="16.5" customHeight="1" x14ac:dyDescent="0.3">
      <c r="A51" s="443" t="s">
        <v>18</v>
      </c>
      <c r="B51" s="444">
        <f>AVERAGE(B45:B50)</f>
        <v>67935314.333333328</v>
      </c>
      <c r="C51" s="445">
        <f>AVERAGE(C45:C50)</f>
        <v>12766.366666666667</v>
      </c>
      <c r="D51" s="446">
        <f>AVERAGE(D45:D50)</f>
        <v>1</v>
      </c>
      <c r="E51" s="446">
        <f>AVERAGE(E45:E50)</f>
        <v>11.249999999999998</v>
      </c>
      <c r="F51" s="446">
        <v>20.6</v>
      </c>
    </row>
    <row r="52" spans="1:7" ht="16.5" customHeight="1" x14ac:dyDescent="0.3">
      <c r="A52" s="447" t="s">
        <v>19</v>
      </c>
      <c r="B52" s="448">
        <f>(STDEV(B45:B50)/B51)</f>
        <v>1.3827350172788118E-3</v>
      </c>
      <c r="C52" s="449"/>
      <c r="D52" s="449"/>
      <c r="E52" s="450"/>
      <c r="F52" s="450"/>
    </row>
    <row r="53" spans="1:7" s="425" customFormat="1" ht="16.5" customHeight="1" x14ac:dyDescent="0.3">
      <c r="A53" s="451" t="s">
        <v>20</v>
      </c>
      <c r="B53" s="452">
        <f>COUNT(B45:B50)</f>
        <v>6</v>
      </c>
      <c r="C53" s="453"/>
      <c r="D53" s="454"/>
      <c r="E53" s="455"/>
      <c r="F53" s="455"/>
    </row>
    <row r="54" spans="1:7" s="425" customFormat="1" ht="15.75" customHeight="1" x14ac:dyDescent="0.3">
      <c r="A54" s="431"/>
      <c r="B54" s="431"/>
      <c r="C54" s="431"/>
      <c r="D54" s="431"/>
      <c r="E54" s="431"/>
    </row>
    <row r="55" spans="1:7" s="425" customFormat="1" ht="16.5" customHeight="1" x14ac:dyDescent="0.3">
      <c r="A55" s="432" t="s">
        <v>21</v>
      </c>
      <c r="B55" s="456" t="s">
        <v>22</v>
      </c>
      <c r="C55" s="457"/>
      <c r="D55" s="457"/>
      <c r="E55" s="457"/>
    </row>
    <row r="56" spans="1:7" ht="16.5" customHeight="1" x14ac:dyDescent="0.3">
      <c r="A56" s="432"/>
      <c r="B56" s="456" t="s">
        <v>23</v>
      </c>
      <c r="C56" s="457"/>
      <c r="D56" s="457"/>
      <c r="E56" s="457"/>
    </row>
    <row r="57" spans="1:7" ht="16.5" customHeight="1" x14ac:dyDescent="0.3">
      <c r="A57" s="432"/>
      <c r="B57" s="456" t="s">
        <v>24</v>
      </c>
      <c r="C57" s="457"/>
      <c r="D57" s="457"/>
      <c r="E57" s="457"/>
    </row>
    <row r="58" spans="1:7" ht="14.25" customHeight="1" thickBot="1" x14ac:dyDescent="0.35">
      <c r="A58" s="458"/>
      <c r="B58" s="469" t="s">
        <v>136</v>
      </c>
      <c r="D58" s="460"/>
      <c r="F58" s="461"/>
      <c r="G58" s="461"/>
    </row>
    <row r="59" spans="1:7" ht="15" customHeight="1" x14ac:dyDescent="0.3">
      <c r="B59" s="476" t="s">
        <v>26</v>
      </c>
      <c r="C59" s="476"/>
      <c r="E59" s="462" t="s">
        <v>27</v>
      </c>
      <c r="F59" s="463"/>
      <c r="G59" s="462" t="s">
        <v>28</v>
      </c>
    </row>
    <row r="60" spans="1:7" ht="15" customHeight="1" x14ac:dyDescent="0.3">
      <c r="A60" s="464" t="s">
        <v>29</v>
      </c>
      <c r="B60" s="468" t="s">
        <v>137</v>
      </c>
      <c r="C60" s="468" t="s">
        <v>134</v>
      </c>
      <c r="E60" s="465"/>
      <c r="G60" s="465"/>
    </row>
    <row r="61" spans="1:7" ht="15" customHeight="1" x14ac:dyDescent="0.3">
      <c r="A61" s="464" t="s">
        <v>30</v>
      </c>
      <c r="B61" s="466"/>
      <c r="C61" s="466"/>
      <c r="E61" s="466"/>
      <c r="G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5" sqref="A15:G61"/>
    </sheetView>
  </sheetViews>
  <sheetFormatPr defaultColWidth="9.109375" defaultRowHeight="13.8" x14ac:dyDescent="0.3"/>
  <cols>
    <col min="1" max="1" width="27.5546875" style="425" customWidth="1"/>
    <col min="2" max="2" width="20.44140625" style="425" customWidth="1"/>
    <col min="3" max="3" width="31.88671875" style="425" customWidth="1"/>
    <col min="4" max="4" width="25.88671875" style="425" customWidth="1"/>
    <col min="5" max="5" width="25.6640625" style="425" customWidth="1"/>
    <col min="6" max="6" width="23.109375" style="425" customWidth="1"/>
    <col min="7" max="7" width="28.44140625" style="425" customWidth="1"/>
    <col min="8" max="8" width="21.5546875" style="425" customWidth="1"/>
    <col min="9" max="9" width="9.109375" style="425" customWidth="1"/>
    <col min="10" max="16384" width="9.109375" style="461"/>
  </cols>
  <sheetData>
    <row r="14" spans="1:6" ht="15" customHeight="1" x14ac:dyDescent="0.3">
      <c r="A14" s="424"/>
      <c r="C14" s="426"/>
      <c r="F14" s="426"/>
    </row>
    <row r="15" spans="1:6" ht="18.75" customHeight="1" x14ac:dyDescent="0.35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427" t="s">
        <v>1</v>
      </c>
      <c r="B16" s="428" t="s">
        <v>2</v>
      </c>
    </row>
    <row r="17" spans="1:5" ht="16.5" customHeight="1" x14ac:dyDescent="0.3">
      <c r="A17" s="429" t="s">
        <v>3</v>
      </c>
      <c r="B17" s="429" t="s">
        <v>5</v>
      </c>
      <c r="D17" s="430"/>
      <c r="E17" s="431"/>
    </row>
    <row r="18" spans="1:5" ht="16.5" customHeight="1" x14ac:dyDescent="0.3">
      <c r="A18" s="432" t="s">
        <v>4</v>
      </c>
      <c r="B18" s="425" t="s">
        <v>132</v>
      </c>
      <c r="C18" s="431"/>
      <c r="D18" s="431"/>
      <c r="E18" s="431"/>
    </row>
    <row r="19" spans="1:5" ht="16.5" customHeight="1" x14ac:dyDescent="0.3">
      <c r="A19" s="432" t="s">
        <v>6</v>
      </c>
      <c r="B19" s="433">
        <v>99.7</v>
      </c>
      <c r="C19" s="431"/>
      <c r="D19" s="431"/>
      <c r="E19" s="431"/>
    </row>
    <row r="20" spans="1:5" ht="16.5" customHeight="1" x14ac:dyDescent="0.3">
      <c r="A20" s="429" t="s">
        <v>8</v>
      </c>
      <c r="B20" s="433">
        <v>19.739999999999998</v>
      </c>
      <c r="C20" s="431"/>
      <c r="D20" s="431"/>
      <c r="E20" s="431"/>
    </row>
    <row r="21" spans="1:5" ht="16.5" customHeight="1" x14ac:dyDescent="0.3">
      <c r="A21" s="429" t="s">
        <v>10</v>
      </c>
      <c r="B21" s="434">
        <v>3.2000000000000001E-2</v>
      </c>
      <c r="C21" s="431"/>
      <c r="D21" s="431"/>
      <c r="E21" s="431"/>
    </row>
    <row r="22" spans="1:5" ht="15.75" customHeight="1" x14ac:dyDescent="0.3">
      <c r="A22" s="431"/>
      <c r="B22" s="431"/>
      <c r="C22" s="431"/>
      <c r="D22" s="431"/>
      <c r="E22" s="431"/>
    </row>
    <row r="23" spans="1:5" ht="16.5" customHeight="1" x14ac:dyDescent="0.3">
      <c r="A23" s="435" t="s">
        <v>13</v>
      </c>
      <c r="B23" s="436" t="s">
        <v>14</v>
      </c>
      <c r="C23" s="435" t="s">
        <v>15</v>
      </c>
      <c r="D23" s="435" t="s">
        <v>16</v>
      </c>
      <c r="E23" s="435" t="s">
        <v>17</v>
      </c>
    </row>
    <row r="24" spans="1:5" ht="16.5" customHeight="1" x14ac:dyDescent="0.3">
      <c r="A24" s="437">
        <v>1</v>
      </c>
      <c r="B24" s="438">
        <v>4963064</v>
      </c>
      <c r="C24" s="438">
        <v>8156.2</v>
      </c>
      <c r="D24" s="439">
        <v>1.2</v>
      </c>
      <c r="E24" s="440">
        <v>4.9000000000000004</v>
      </c>
    </row>
    <row r="25" spans="1:5" ht="16.5" customHeight="1" x14ac:dyDescent="0.3">
      <c r="A25" s="437">
        <v>2</v>
      </c>
      <c r="B25" s="438">
        <v>4952561</v>
      </c>
      <c r="C25" s="438">
        <v>8190.5</v>
      </c>
      <c r="D25" s="439">
        <v>1.2</v>
      </c>
      <c r="E25" s="439">
        <v>4.9000000000000004</v>
      </c>
    </row>
    <row r="26" spans="1:5" ht="16.5" customHeight="1" x14ac:dyDescent="0.3">
      <c r="A26" s="437">
        <v>3</v>
      </c>
      <c r="B26" s="438">
        <v>4953851</v>
      </c>
      <c r="C26" s="438">
        <v>8164.9</v>
      </c>
      <c r="D26" s="439">
        <v>1.2</v>
      </c>
      <c r="E26" s="439">
        <v>4.9000000000000004</v>
      </c>
    </row>
    <row r="27" spans="1:5" ht="16.5" customHeight="1" x14ac:dyDescent="0.3">
      <c r="A27" s="437">
        <v>4</v>
      </c>
      <c r="B27" s="438">
        <v>4955629</v>
      </c>
      <c r="C27" s="438">
        <v>8154.7</v>
      </c>
      <c r="D27" s="439">
        <v>1.2</v>
      </c>
      <c r="E27" s="439">
        <v>4.9000000000000004</v>
      </c>
    </row>
    <row r="28" spans="1:5" ht="16.5" customHeight="1" x14ac:dyDescent="0.3">
      <c r="A28" s="437">
        <v>5</v>
      </c>
      <c r="B28" s="438">
        <v>4972264</v>
      </c>
      <c r="C28" s="438">
        <v>8125.6</v>
      </c>
      <c r="D28" s="439">
        <v>1.2</v>
      </c>
      <c r="E28" s="439">
        <v>4.9000000000000004</v>
      </c>
    </row>
    <row r="29" spans="1:5" ht="16.5" customHeight="1" x14ac:dyDescent="0.3">
      <c r="A29" s="437">
        <v>6</v>
      </c>
      <c r="B29" s="441">
        <v>4970536</v>
      </c>
      <c r="C29" s="441">
        <v>8115.2</v>
      </c>
      <c r="D29" s="442">
        <v>1.2</v>
      </c>
      <c r="E29" s="442">
        <v>4.9000000000000004</v>
      </c>
    </row>
    <row r="30" spans="1:5" ht="16.5" customHeight="1" x14ac:dyDescent="0.3">
      <c r="A30" s="443" t="s">
        <v>18</v>
      </c>
      <c r="B30" s="444">
        <f>AVERAGE(B24:B29)</f>
        <v>4961317.5</v>
      </c>
      <c r="C30" s="445">
        <f>AVERAGE(C24:C29)</f>
        <v>8151.1833333333334</v>
      </c>
      <c r="D30" s="446">
        <f>AVERAGE(D24:D29)</f>
        <v>1.2</v>
      </c>
      <c r="E30" s="446">
        <f>AVERAGE(E24:E29)</f>
        <v>4.8999999999999995</v>
      </c>
    </row>
    <row r="31" spans="1:5" ht="16.5" customHeight="1" x14ac:dyDescent="0.3">
      <c r="A31" s="447" t="s">
        <v>19</v>
      </c>
      <c r="B31" s="448">
        <f>(STDEV(B24:B29)/B30)</f>
        <v>1.7400558456648462E-3</v>
      </c>
      <c r="C31" s="449"/>
      <c r="D31" s="449"/>
      <c r="E31" s="450"/>
    </row>
    <row r="32" spans="1:5" s="425" customFormat="1" ht="16.5" customHeight="1" x14ac:dyDescent="0.3">
      <c r="A32" s="451" t="s">
        <v>20</v>
      </c>
      <c r="B32" s="452">
        <f>COUNT(B24:B29)</f>
        <v>6</v>
      </c>
      <c r="C32" s="453"/>
      <c r="D32" s="454"/>
      <c r="E32" s="455"/>
    </row>
    <row r="33" spans="1:5" s="425" customFormat="1" ht="15.75" customHeight="1" x14ac:dyDescent="0.3">
      <c r="A33" s="431"/>
      <c r="B33" s="431"/>
      <c r="C33" s="431"/>
      <c r="D33" s="431"/>
      <c r="E33" s="431"/>
    </row>
    <row r="34" spans="1:5" s="425" customFormat="1" ht="16.5" customHeight="1" x14ac:dyDescent="0.3">
      <c r="A34" s="432" t="s">
        <v>21</v>
      </c>
      <c r="B34" s="456" t="s">
        <v>22</v>
      </c>
      <c r="C34" s="457"/>
      <c r="D34" s="457"/>
      <c r="E34" s="457"/>
    </row>
    <row r="35" spans="1:5" ht="16.5" customHeight="1" x14ac:dyDescent="0.3">
      <c r="A35" s="432"/>
      <c r="B35" s="456" t="s">
        <v>23</v>
      </c>
      <c r="C35" s="457"/>
      <c r="D35" s="457"/>
      <c r="E35" s="457"/>
    </row>
    <row r="36" spans="1:5" ht="16.5" customHeight="1" x14ac:dyDescent="0.3">
      <c r="A36" s="432"/>
      <c r="B36" s="456" t="s">
        <v>24</v>
      </c>
      <c r="C36" s="457"/>
      <c r="D36" s="457"/>
      <c r="E36" s="457"/>
    </row>
    <row r="37" spans="1:5" ht="15.75" customHeight="1" x14ac:dyDescent="0.3">
      <c r="A37" s="431"/>
      <c r="B37" s="431"/>
      <c r="C37" s="431"/>
      <c r="D37" s="431"/>
      <c r="E37" s="431"/>
    </row>
    <row r="38" spans="1:5" ht="16.5" customHeight="1" x14ac:dyDescent="0.3">
      <c r="A38" s="427" t="s">
        <v>1</v>
      </c>
      <c r="B38" s="428" t="s">
        <v>25</v>
      </c>
    </row>
    <row r="39" spans="1:5" ht="16.5" customHeight="1" x14ac:dyDescent="0.3">
      <c r="A39" s="432" t="s">
        <v>4</v>
      </c>
      <c r="B39" s="429" t="s">
        <v>132</v>
      </c>
      <c r="C39" s="431"/>
      <c r="D39" s="431"/>
      <c r="E39" s="431"/>
    </row>
    <row r="40" spans="1:5" ht="16.5" customHeight="1" x14ac:dyDescent="0.3">
      <c r="A40" s="432" t="s">
        <v>6</v>
      </c>
      <c r="B40" s="433">
        <v>99.7</v>
      </c>
      <c r="C40" s="431"/>
      <c r="D40" s="431"/>
      <c r="E40" s="431"/>
    </row>
    <row r="41" spans="1:5" ht="16.5" customHeight="1" x14ac:dyDescent="0.3">
      <c r="A41" s="429" t="s">
        <v>8</v>
      </c>
      <c r="B41" s="433">
        <v>19.739999999999998</v>
      </c>
      <c r="C41" s="431"/>
      <c r="D41" s="431"/>
      <c r="E41" s="431"/>
    </row>
    <row r="42" spans="1:5" ht="16.5" customHeight="1" x14ac:dyDescent="0.3">
      <c r="A42" s="429" t="s">
        <v>10</v>
      </c>
      <c r="B42" s="434">
        <v>3.2000000000000001E-2</v>
      </c>
      <c r="C42" s="431"/>
      <c r="D42" s="431"/>
      <c r="E42" s="431"/>
    </row>
    <row r="43" spans="1:5" ht="15.75" customHeight="1" x14ac:dyDescent="0.3">
      <c r="A43" s="431"/>
      <c r="B43" s="431"/>
      <c r="C43" s="431"/>
      <c r="D43" s="431"/>
      <c r="E43" s="431"/>
    </row>
    <row r="44" spans="1:5" ht="16.5" customHeight="1" x14ac:dyDescent="0.3">
      <c r="A44" s="435" t="s">
        <v>13</v>
      </c>
      <c r="B44" s="436" t="s">
        <v>14</v>
      </c>
      <c r="C44" s="435" t="s">
        <v>15</v>
      </c>
      <c r="D44" s="435" t="s">
        <v>16</v>
      </c>
      <c r="E44" s="435" t="s">
        <v>17</v>
      </c>
    </row>
    <row r="45" spans="1:5" ht="16.5" customHeight="1" x14ac:dyDescent="0.3">
      <c r="A45" s="437">
        <v>1</v>
      </c>
      <c r="B45" s="438">
        <v>4963064</v>
      </c>
      <c r="C45" s="438">
        <v>8156.2</v>
      </c>
      <c r="D45" s="439">
        <v>1.2</v>
      </c>
      <c r="E45" s="440">
        <v>4.9000000000000004</v>
      </c>
    </row>
    <row r="46" spans="1:5" ht="16.5" customHeight="1" x14ac:dyDescent="0.3">
      <c r="A46" s="437">
        <v>2</v>
      </c>
      <c r="B46" s="438">
        <v>4952561</v>
      </c>
      <c r="C46" s="438">
        <v>8190.5</v>
      </c>
      <c r="D46" s="439">
        <v>1.2</v>
      </c>
      <c r="E46" s="439">
        <v>4.9000000000000004</v>
      </c>
    </row>
    <row r="47" spans="1:5" ht="16.5" customHeight="1" x14ac:dyDescent="0.3">
      <c r="A47" s="437">
        <v>3</v>
      </c>
      <c r="B47" s="438">
        <v>4953851</v>
      </c>
      <c r="C47" s="438">
        <v>8164.9</v>
      </c>
      <c r="D47" s="439">
        <v>1.2</v>
      </c>
      <c r="E47" s="439">
        <v>4.9000000000000004</v>
      </c>
    </row>
    <row r="48" spans="1:5" ht="16.5" customHeight="1" x14ac:dyDescent="0.3">
      <c r="A48" s="437">
        <v>4</v>
      </c>
      <c r="B48" s="438">
        <v>4955629</v>
      </c>
      <c r="C48" s="438">
        <v>8154.7</v>
      </c>
      <c r="D48" s="439">
        <v>1.2</v>
      </c>
      <c r="E48" s="439">
        <v>4.9000000000000004</v>
      </c>
    </row>
    <row r="49" spans="1:7" ht="16.5" customHeight="1" x14ac:dyDescent="0.3">
      <c r="A49" s="437">
        <v>5</v>
      </c>
      <c r="B49" s="438">
        <v>4972264</v>
      </c>
      <c r="C49" s="438">
        <v>8125.6</v>
      </c>
      <c r="D49" s="439">
        <v>1.2</v>
      </c>
      <c r="E49" s="439">
        <v>4.9000000000000004</v>
      </c>
    </row>
    <row r="50" spans="1:7" ht="16.5" customHeight="1" x14ac:dyDescent="0.3">
      <c r="A50" s="437">
        <v>6</v>
      </c>
      <c r="B50" s="441">
        <v>4970536</v>
      </c>
      <c r="C50" s="441">
        <v>8115.2</v>
      </c>
      <c r="D50" s="442">
        <v>1.2</v>
      </c>
      <c r="E50" s="442">
        <v>4.9000000000000004</v>
      </c>
    </row>
    <row r="51" spans="1:7" ht="16.5" customHeight="1" x14ac:dyDescent="0.3">
      <c r="A51" s="443" t="s">
        <v>18</v>
      </c>
      <c r="B51" s="444">
        <f>AVERAGE(B45:B50)</f>
        <v>4961317.5</v>
      </c>
      <c r="C51" s="445">
        <f>AVERAGE(C45:C50)</f>
        <v>8151.1833333333334</v>
      </c>
      <c r="D51" s="446">
        <f>AVERAGE(D45:D50)</f>
        <v>1.2</v>
      </c>
      <c r="E51" s="446">
        <f>AVERAGE(E45:E50)</f>
        <v>4.8999999999999995</v>
      </c>
    </row>
    <row r="52" spans="1:7" ht="16.5" customHeight="1" x14ac:dyDescent="0.3">
      <c r="A52" s="447" t="s">
        <v>19</v>
      </c>
      <c r="B52" s="448">
        <f>(STDEV(B45:B50)/B51)</f>
        <v>1.7400558456648462E-3</v>
      </c>
      <c r="C52" s="449"/>
      <c r="D52" s="449"/>
      <c r="E52" s="450"/>
    </row>
    <row r="53" spans="1:7" s="425" customFormat="1" ht="16.5" customHeight="1" x14ac:dyDescent="0.3">
      <c r="A53" s="451" t="s">
        <v>20</v>
      </c>
      <c r="B53" s="452">
        <f>COUNT(B45:B50)</f>
        <v>6</v>
      </c>
      <c r="C53" s="453"/>
      <c r="D53" s="454"/>
      <c r="E53" s="455"/>
    </row>
    <row r="54" spans="1:7" s="425" customFormat="1" ht="15.75" customHeight="1" x14ac:dyDescent="0.3">
      <c r="A54" s="431"/>
      <c r="B54" s="431"/>
      <c r="C54" s="431"/>
      <c r="D54" s="431"/>
      <c r="E54" s="431"/>
    </row>
    <row r="55" spans="1:7" s="425" customFormat="1" ht="16.5" customHeight="1" x14ac:dyDescent="0.3">
      <c r="A55" s="432" t="s">
        <v>21</v>
      </c>
      <c r="B55" s="456" t="s">
        <v>22</v>
      </c>
      <c r="C55" s="457"/>
      <c r="D55" s="457"/>
      <c r="E55" s="457"/>
    </row>
    <row r="56" spans="1:7" ht="16.5" customHeight="1" x14ac:dyDescent="0.3">
      <c r="A56" s="432"/>
      <c r="B56" s="456" t="s">
        <v>23</v>
      </c>
      <c r="C56" s="457"/>
      <c r="D56" s="457"/>
      <c r="E56" s="457"/>
    </row>
    <row r="57" spans="1:7" ht="16.5" customHeight="1" x14ac:dyDescent="0.3">
      <c r="A57" s="432"/>
      <c r="B57" s="456" t="s">
        <v>24</v>
      </c>
      <c r="C57" s="457"/>
      <c r="D57" s="457"/>
      <c r="E57" s="457"/>
    </row>
    <row r="58" spans="1:7" ht="14.25" customHeight="1" thickBot="1" x14ac:dyDescent="0.35">
      <c r="A58" s="458"/>
      <c r="B58" s="459"/>
      <c r="D58" s="460"/>
      <c r="F58" s="461"/>
      <c r="G58" s="461"/>
    </row>
    <row r="59" spans="1:7" ht="15" customHeight="1" x14ac:dyDescent="0.3">
      <c r="B59" s="476" t="s">
        <v>26</v>
      </c>
      <c r="C59" s="476"/>
      <c r="E59" s="462" t="s">
        <v>27</v>
      </c>
      <c r="F59" s="463"/>
      <c r="G59" s="462" t="s">
        <v>28</v>
      </c>
    </row>
    <row r="60" spans="1:7" ht="15" customHeight="1" x14ac:dyDescent="0.3">
      <c r="A60" s="464" t="s">
        <v>29</v>
      </c>
      <c r="B60" s="468" t="s">
        <v>133</v>
      </c>
      <c r="C60" s="468" t="s">
        <v>134</v>
      </c>
      <c r="E60" s="465"/>
      <c r="G60" s="465"/>
    </row>
    <row r="61" spans="1:7" ht="15" customHeight="1" x14ac:dyDescent="0.3">
      <c r="A61" s="464" t="s">
        <v>30</v>
      </c>
      <c r="B61" s="466"/>
      <c r="C61" s="466"/>
      <c r="E61" s="466"/>
      <c r="G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A10" sqref="A10:F5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81" t="s">
        <v>31</v>
      </c>
      <c r="B11" s="482"/>
      <c r="C11" s="482"/>
      <c r="D11" s="482"/>
      <c r="E11" s="482"/>
      <c r="F11" s="483"/>
      <c r="G11" s="43"/>
    </row>
    <row r="12" spans="1:7" ht="16.5" customHeight="1" x14ac:dyDescent="0.3">
      <c r="A12" s="478" t="s">
        <v>32</v>
      </c>
      <c r="B12" s="478"/>
      <c r="C12" s="478"/>
      <c r="D12" s="478"/>
      <c r="E12" s="478"/>
      <c r="F12" s="478"/>
      <c r="G12" s="42"/>
    </row>
    <row r="14" spans="1:7" ht="16.5" customHeight="1" x14ac:dyDescent="0.3">
      <c r="A14" s="477" t="s">
        <v>33</v>
      </c>
      <c r="B14" s="477"/>
      <c r="C14" s="12" t="s">
        <v>5</v>
      </c>
    </row>
    <row r="15" spans="1:7" ht="16.5" customHeight="1" x14ac:dyDescent="0.3">
      <c r="A15" s="477" t="s">
        <v>34</v>
      </c>
      <c r="B15" s="477"/>
      <c r="C15" s="12" t="s">
        <v>7</v>
      </c>
    </row>
    <row r="16" spans="1:7" ht="16.5" customHeight="1" x14ac:dyDescent="0.3">
      <c r="A16" s="477" t="s">
        <v>35</v>
      </c>
      <c r="B16" s="477"/>
      <c r="C16" s="12" t="s">
        <v>9</v>
      </c>
    </row>
    <row r="17" spans="1:5" ht="16.5" customHeight="1" x14ac:dyDescent="0.3">
      <c r="A17" s="477" t="s">
        <v>36</v>
      </c>
      <c r="B17" s="477"/>
      <c r="C17" s="12" t="s">
        <v>11</v>
      </c>
    </row>
    <row r="18" spans="1:5" ht="16.5" customHeight="1" x14ac:dyDescent="0.3">
      <c r="A18" s="477" t="s">
        <v>37</v>
      </c>
      <c r="B18" s="477"/>
      <c r="C18" s="49" t="s">
        <v>12</v>
      </c>
    </row>
    <row r="19" spans="1:5" ht="16.5" customHeight="1" x14ac:dyDescent="0.3">
      <c r="A19" s="477" t="s">
        <v>38</v>
      </c>
      <c r="B19" s="47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8" t="s">
        <v>1</v>
      </c>
      <c r="B21" s="478"/>
      <c r="C21" s="11" t="s">
        <v>39</v>
      </c>
      <c r="D21" s="18"/>
    </row>
    <row r="22" spans="1:5" ht="15.75" customHeight="1" x14ac:dyDescent="0.3">
      <c r="A22" s="484"/>
      <c r="B22" s="484"/>
      <c r="C22" s="9"/>
      <c r="D22" s="484"/>
      <c r="E22" s="484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1067.8699999999999</v>
      </c>
      <c r="D24" s="39">
        <f t="shared" ref="D24:D43" si="0">(C24-$C$46)/$C$46</f>
        <v>-2.2649290648049453E-2</v>
      </c>
      <c r="E24" s="5"/>
    </row>
    <row r="25" spans="1:5" ht="15.75" customHeight="1" x14ac:dyDescent="0.3">
      <c r="C25" s="47">
        <v>1124.4000000000001</v>
      </c>
      <c r="D25" s="40">
        <f t="shared" si="0"/>
        <v>2.9088875607829974E-2</v>
      </c>
      <c r="E25" s="5"/>
    </row>
    <row r="26" spans="1:5" ht="15.75" customHeight="1" x14ac:dyDescent="0.3">
      <c r="C26" s="47">
        <v>1071.73</v>
      </c>
      <c r="D26" s="40">
        <f t="shared" si="0"/>
        <v>-1.9116488211330888E-2</v>
      </c>
      <c r="E26" s="5"/>
    </row>
    <row r="27" spans="1:5" ht="15.75" customHeight="1" x14ac:dyDescent="0.3">
      <c r="C27" s="47">
        <v>1081.6500000000001</v>
      </c>
      <c r="D27" s="40">
        <f t="shared" si="0"/>
        <v>-1.0037368995722789E-2</v>
      </c>
      <c r="E27" s="5"/>
    </row>
    <row r="28" spans="1:5" ht="15.75" customHeight="1" x14ac:dyDescent="0.3">
      <c r="C28" s="47">
        <v>1079.54</v>
      </c>
      <c r="D28" s="40">
        <f t="shared" si="0"/>
        <v>-1.1968512296623404E-2</v>
      </c>
      <c r="E28" s="5"/>
    </row>
    <row r="29" spans="1:5" ht="15.75" customHeight="1" x14ac:dyDescent="0.3">
      <c r="C29" s="47">
        <v>1109.78</v>
      </c>
      <c r="D29" s="40">
        <f t="shared" si="0"/>
        <v>1.5708157570310771E-2</v>
      </c>
      <c r="E29" s="5"/>
    </row>
    <row r="30" spans="1:5" ht="15.75" customHeight="1" x14ac:dyDescent="0.3">
      <c r="C30" s="47">
        <v>1082.6600000000001</v>
      </c>
      <c r="D30" s="40">
        <f t="shared" si="0"/>
        <v>-9.1129828659078666E-3</v>
      </c>
      <c r="E30" s="5"/>
    </row>
    <row r="31" spans="1:5" ht="15.75" customHeight="1" x14ac:dyDescent="0.3">
      <c r="C31" s="47">
        <v>1112.17</v>
      </c>
      <c r="D31" s="40">
        <f t="shared" si="0"/>
        <v>1.7895566332942231E-2</v>
      </c>
      <c r="E31" s="5"/>
    </row>
    <row r="32" spans="1:5" ht="15.75" customHeight="1" x14ac:dyDescent="0.3">
      <c r="C32" s="47">
        <v>1121.81</v>
      </c>
      <c r="D32" s="40">
        <f t="shared" si="0"/>
        <v>2.6718420086819277E-2</v>
      </c>
      <c r="E32" s="5"/>
    </row>
    <row r="33" spans="1:7" ht="15.75" customHeight="1" x14ac:dyDescent="0.3">
      <c r="C33" s="47">
        <v>1081.46</v>
      </c>
      <c r="D33" s="40">
        <f t="shared" si="0"/>
        <v>-1.0211263416183072E-2</v>
      </c>
      <c r="E33" s="5"/>
    </row>
    <row r="34" spans="1:7" ht="15.75" customHeight="1" x14ac:dyDescent="0.3">
      <c r="C34" s="47">
        <v>1088.98</v>
      </c>
      <c r="D34" s="40">
        <f t="shared" si="0"/>
        <v>-3.3287053011253872E-3</v>
      </c>
      <c r="E34" s="5"/>
    </row>
    <row r="35" spans="1:7" ht="15.75" customHeight="1" x14ac:dyDescent="0.3">
      <c r="C35" s="47">
        <v>1107.58</v>
      </c>
      <c r="D35" s="40">
        <f t="shared" si="0"/>
        <v>1.3694643228139592E-2</v>
      </c>
      <c r="E35" s="5"/>
    </row>
    <row r="36" spans="1:7" ht="15.75" customHeight="1" x14ac:dyDescent="0.3">
      <c r="C36" s="47">
        <v>1098.22</v>
      </c>
      <c r="D36" s="40">
        <f t="shared" si="0"/>
        <v>5.1280549359933938E-3</v>
      </c>
      <c r="E36" s="5"/>
    </row>
    <row r="37" spans="1:7" ht="15.75" customHeight="1" x14ac:dyDescent="0.3">
      <c r="C37" s="47">
        <v>1075.94</v>
      </c>
      <c r="D37" s="40">
        <f t="shared" si="0"/>
        <v>-1.5263353947448818E-2</v>
      </c>
      <c r="E37" s="5"/>
    </row>
    <row r="38" spans="1:7" ht="15.75" customHeight="1" x14ac:dyDescent="0.3">
      <c r="C38" s="47">
        <v>1096.52</v>
      </c>
      <c r="D38" s="40">
        <f t="shared" si="0"/>
        <v>3.5721574897702017E-3</v>
      </c>
      <c r="E38" s="5"/>
    </row>
    <row r="39" spans="1:7" ht="15.75" customHeight="1" x14ac:dyDescent="0.3">
      <c r="C39" s="47">
        <v>1071.5999999999999</v>
      </c>
      <c r="D39" s="40">
        <f t="shared" si="0"/>
        <v>-1.9235468604277463E-2</v>
      </c>
      <c r="E39" s="5"/>
    </row>
    <row r="40" spans="1:7" ht="15.75" customHeight="1" x14ac:dyDescent="0.3">
      <c r="C40" s="47">
        <v>1116.72</v>
      </c>
      <c r="D40" s="40">
        <f t="shared" si="0"/>
        <v>2.2059880086068861E-2</v>
      </c>
      <c r="E40" s="5"/>
    </row>
    <row r="41" spans="1:7" ht="15.75" customHeight="1" x14ac:dyDescent="0.3">
      <c r="C41" s="47">
        <v>1095.73</v>
      </c>
      <c r="D41" s="40">
        <f t="shared" si="0"/>
        <v>2.8491227941724179E-3</v>
      </c>
      <c r="E41" s="5"/>
    </row>
    <row r="42" spans="1:7" ht="15.75" customHeight="1" x14ac:dyDescent="0.3">
      <c r="C42" s="47">
        <v>1067.6400000000001</v>
      </c>
      <c r="D42" s="40">
        <f t="shared" si="0"/>
        <v>-2.2859794420185334E-2</v>
      </c>
      <c r="E42" s="5"/>
    </row>
    <row r="43" spans="1:7" ht="16.5" customHeight="1" x14ac:dyDescent="0.3">
      <c r="C43" s="48">
        <v>1100.3399999999999</v>
      </c>
      <c r="D43" s="41">
        <f t="shared" si="0"/>
        <v>7.0683505748127531E-3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21852.339999999997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1092.6169999999997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9">
        <f>C46</f>
        <v>1092.6169999999997</v>
      </c>
      <c r="C49" s="45">
        <f>-IF(C46&lt;=80,10%,IF(C46&lt;250,7.5%,5%))</f>
        <v>-0.05</v>
      </c>
      <c r="D49" s="33">
        <f>IF(C46&lt;=80,C46*0.9,IF(C46&lt;250,C46*0.925,C46*0.95))</f>
        <v>1037.9861499999997</v>
      </c>
    </row>
    <row r="50" spans="1:6" ht="17.25" customHeight="1" x14ac:dyDescent="0.3">
      <c r="B50" s="480"/>
      <c r="C50" s="46">
        <f>IF(C46&lt;=80, 10%, IF(C46&lt;250, 7.5%, 5%))</f>
        <v>0.05</v>
      </c>
      <c r="D50" s="33">
        <f>IF(C46&lt;=80, C46*1.1, IF(C46&lt;250, C46*1.075, C46*1.05))</f>
        <v>1147.2478499999997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  <mergeCell ref="B49:B50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60" zoomScaleNormal="40" zoomScalePageLayoutView="46" workbookViewId="0">
      <selection activeCell="D113" sqref="D113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485" t="s">
        <v>45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3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3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3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3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3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3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3">
      <c r="A8" s="486" t="s">
        <v>46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3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3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3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3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3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3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x14ac:dyDescent="0.35">
      <c r="A15" s="50"/>
    </row>
    <row r="16" spans="1:9" ht="19.5" customHeight="1" x14ac:dyDescent="0.35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3">
      <c r="A17" s="520" t="s">
        <v>47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5">
      <c r="A18" s="52" t="s">
        <v>33</v>
      </c>
      <c r="B18" s="516" t="s">
        <v>142</v>
      </c>
      <c r="C18" s="516"/>
      <c r="D18" s="197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06">
        <v>1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521" t="s">
        <v>9</v>
      </c>
      <c r="C20" s="521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521" t="s">
        <v>139</v>
      </c>
      <c r="C21" s="521"/>
      <c r="D21" s="521"/>
      <c r="E21" s="521"/>
      <c r="F21" s="521"/>
      <c r="G21" s="521"/>
      <c r="H21" s="521"/>
      <c r="I21" s="56"/>
    </row>
    <row r="22" spans="1:14" ht="26.25" customHeight="1" x14ac:dyDescent="0.5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516" t="s">
        <v>131</v>
      </c>
      <c r="C26" s="516"/>
    </row>
    <row r="27" spans="1:14" ht="26.25" customHeight="1" x14ac:dyDescent="0.5">
      <c r="A27" s="61" t="s">
        <v>48</v>
      </c>
      <c r="B27" s="514" t="s">
        <v>138</v>
      </c>
      <c r="C27" s="514"/>
    </row>
    <row r="28" spans="1:14" ht="27" customHeight="1" x14ac:dyDescent="0.45">
      <c r="A28" s="61" t="s">
        <v>6</v>
      </c>
      <c r="B28" s="62">
        <v>99.02</v>
      </c>
    </row>
    <row r="29" spans="1:14" s="3" customFormat="1" ht="27" customHeight="1" x14ac:dyDescent="0.5">
      <c r="A29" s="61" t="s">
        <v>49</v>
      </c>
      <c r="B29" s="63">
        <v>0</v>
      </c>
      <c r="C29" s="493" t="s">
        <v>50</v>
      </c>
      <c r="D29" s="494"/>
      <c r="E29" s="494"/>
      <c r="F29" s="494"/>
      <c r="G29" s="495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99.02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496" t="s">
        <v>53</v>
      </c>
      <c r="D31" s="497"/>
      <c r="E31" s="497"/>
      <c r="F31" s="497"/>
      <c r="G31" s="497"/>
      <c r="H31" s="498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496" t="s">
        <v>55</v>
      </c>
      <c r="D32" s="497"/>
      <c r="E32" s="497"/>
      <c r="F32" s="497"/>
      <c r="G32" s="497"/>
      <c r="H32" s="498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100</v>
      </c>
      <c r="C36" s="51"/>
      <c r="D36" s="499" t="s">
        <v>59</v>
      </c>
      <c r="E36" s="522"/>
      <c r="F36" s="499" t="s">
        <v>60</v>
      </c>
      <c r="G36" s="500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1</v>
      </c>
      <c r="C38" s="83">
        <v>1</v>
      </c>
      <c r="D38" s="470">
        <v>68064455</v>
      </c>
      <c r="E38" s="84">
        <f>IF(ISBLANK(D38),"-",$D$48/$D$45*D38)</f>
        <v>67763981.037581742</v>
      </c>
      <c r="F38" s="470">
        <v>71921391</v>
      </c>
      <c r="G38" s="85">
        <f>IF(ISBLANK(F38),"-",$D$48/$F$45*F38)</f>
        <v>68160184.233642191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7">
        <v>2</v>
      </c>
      <c r="D39" s="471">
        <v>67717132</v>
      </c>
      <c r="E39" s="89">
        <f>IF(ISBLANK(D39),"-",$D$48/$D$45*D39)</f>
        <v>67418191.312446699</v>
      </c>
      <c r="F39" s="471">
        <v>71968978</v>
      </c>
      <c r="G39" s="90">
        <f>IF(ISBLANK(F39),"-",$D$48/$F$45*F39)</f>
        <v>68205282.620117024</v>
      </c>
      <c r="I39" s="501">
        <f>ABS((F43/D43*D42)-F42)/D42</f>
        <v>1.1158384275030596E-2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7">
        <v>3</v>
      </c>
      <c r="D40" s="471">
        <v>67573484</v>
      </c>
      <c r="E40" s="89">
        <f>IF(ISBLANK(D40),"-",$D$48/$D$45*D40)</f>
        <v>67275177.453772798</v>
      </c>
      <c r="F40" s="471">
        <v>72008071</v>
      </c>
      <c r="G40" s="90">
        <f>IF(ISBLANK(F40),"-",$D$48/$F$45*F40)</f>
        <v>68242331.20948936</v>
      </c>
      <c r="I40" s="501"/>
      <c r="L40" s="69"/>
      <c r="M40" s="69"/>
      <c r="N40" s="91"/>
    </row>
    <row r="41" spans="1:14" ht="27" customHeight="1" x14ac:dyDescent="0.45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5">
      <c r="A42" s="76" t="s">
        <v>70</v>
      </c>
      <c r="B42" s="77">
        <v>1</v>
      </c>
      <c r="C42" s="97" t="s">
        <v>71</v>
      </c>
      <c r="D42" s="98">
        <f>AVERAGE(D38:D41)</f>
        <v>67785023.666666672</v>
      </c>
      <c r="E42" s="99">
        <f>AVERAGE(E38:E41)</f>
        <v>67485783.267933741</v>
      </c>
      <c r="F42" s="98">
        <f>AVERAGE(F38:F41)</f>
        <v>71966146.666666672</v>
      </c>
      <c r="G42" s="100">
        <f>AVERAGE(G38:G41)</f>
        <v>68202599.354416192</v>
      </c>
      <c r="H42" s="101"/>
    </row>
    <row r="43" spans="1:14" ht="26.25" customHeight="1" x14ac:dyDescent="0.45">
      <c r="A43" s="76" t="s">
        <v>72</v>
      </c>
      <c r="B43" s="77">
        <v>1</v>
      </c>
      <c r="C43" s="102" t="s">
        <v>73</v>
      </c>
      <c r="D43" s="103">
        <v>16.23</v>
      </c>
      <c r="E43" s="91"/>
      <c r="F43" s="103">
        <v>17.05</v>
      </c>
      <c r="H43" s="101"/>
    </row>
    <row r="44" spans="1:14" ht="26.25" customHeight="1" x14ac:dyDescent="0.45">
      <c r="A44" s="76" t="s">
        <v>74</v>
      </c>
      <c r="B44" s="77">
        <v>1</v>
      </c>
      <c r="C44" s="104" t="s">
        <v>75</v>
      </c>
      <c r="D44" s="105">
        <f>D43*$B$34</f>
        <v>16.23</v>
      </c>
      <c r="E44" s="106"/>
      <c r="F44" s="105">
        <f>F43*$B$34</f>
        <v>17.05</v>
      </c>
      <c r="H44" s="101"/>
    </row>
    <row r="45" spans="1:14" ht="19.5" customHeight="1" x14ac:dyDescent="0.35">
      <c r="A45" s="76" t="s">
        <v>76</v>
      </c>
      <c r="B45" s="107">
        <f>(B44/B43)*(B42/B41)*(B40/B39)*(B38/B37)*B36</f>
        <v>100</v>
      </c>
      <c r="C45" s="104" t="s">
        <v>77</v>
      </c>
      <c r="D45" s="108">
        <f>D44*$B$30/100</f>
        <v>16.070945999999999</v>
      </c>
      <c r="E45" s="109"/>
      <c r="F45" s="108">
        <f>F44*$B$30/100</f>
        <v>16.882909999999999</v>
      </c>
      <c r="H45" s="101"/>
    </row>
    <row r="46" spans="1:14" ht="19.5" customHeight="1" x14ac:dyDescent="0.35">
      <c r="A46" s="487" t="s">
        <v>78</v>
      </c>
      <c r="B46" s="488"/>
      <c r="C46" s="104" t="s">
        <v>79</v>
      </c>
      <c r="D46" s="110">
        <f>D45/$B$45</f>
        <v>0.16070946</v>
      </c>
      <c r="E46" s="111"/>
      <c r="F46" s="112">
        <f>F45/$B$45</f>
        <v>0.16882909999999998</v>
      </c>
      <c r="H46" s="101"/>
    </row>
    <row r="47" spans="1:14" ht="27" customHeight="1" x14ac:dyDescent="0.45">
      <c r="A47" s="489"/>
      <c r="B47" s="490"/>
      <c r="C47" s="113" t="s">
        <v>80</v>
      </c>
      <c r="D47" s="114">
        <v>0.16</v>
      </c>
      <c r="E47" s="115"/>
      <c r="F47" s="111"/>
      <c r="H47" s="101"/>
    </row>
    <row r="48" spans="1:14" ht="18" x14ac:dyDescent="0.35">
      <c r="C48" s="116" t="s">
        <v>81</v>
      </c>
      <c r="D48" s="108">
        <f>D47*$B$45</f>
        <v>16</v>
      </c>
      <c r="F48" s="117"/>
      <c r="H48" s="101"/>
    </row>
    <row r="49" spans="1:12" ht="19.5" customHeight="1" x14ac:dyDescent="0.35">
      <c r="C49" s="118" t="s">
        <v>82</v>
      </c>
      <c r="D49" s="119">
        <f>D48/B34</f>
        <v>16</v>
      </c>
      <c r="F49" s="117"/>
      <c r="H49" s="101"/>
    </row>
    <row r="50" spans="1:12" ht="18" x14ac:dyDescent="0.35">
      <c r="C50" s="74" t="s">
        <v>83</v>
      </c>
      <c r="D50" s="120">
        <f>AVERAGE(E38:E41,G38:G41)</f>
        <v>67844191.311174959</v>
      </c>
      <c r="F50" s="121"/>
      <c r="H50" s="101"/>
    </row>
    <row r="51" spans="1:12" ht="18" x14ac:dyDescent="0.35">
      <c r="C51" s="76" t="s">
        <v>84</v>
      </c>
      <c r="D51" s="122">
        <f>STDEV(E38:E41,G38:G41)/D50</f>
        <v>6.2550356420884613E-3</v>
      </c>
      <c r="F51" s="121"/>
      <c r="H51" s="101"/>
    </row>
    <row r="52" spans="1:12" ht="19.5" customHeight="1" x14ac:dyDescent="0.35">
      <c r="C52" s="123" t="s">
        <v>20</v>
      </c>
      <c r="D52" s="124">
        <f>COUNT(E38:E41,G38:G41)</f>
        <v>6</v>
      </c>
      <c r="F52" s="121"/>
    </row>
    <row r="54" spans="1:12" ht="18" x14ac:dyDescent="0.35">
      <c r="A54" s="125" t="s">
        <v>1</v>
      </c>
      <c r="B54" s="126" t="s">
        <v>85</v>
      </c>
    </row>
    <row r="55" spans="1:12" ht="18" x14ac:dyDescent="0.35">
      <c r="A55" s="51" t="s">
        <v>86</v>
      </c>
      <c r="B55" s="127" t="str">
        <f>B21</f>
        <v>Each tablet contains: Sulphamethoxazole BP 800 mg and Trimethoprim BP 160 mg.</v>
      </c>
    </row>
    <row r="56" spans="1:12" ht="26.25" customHeight="1" x14ac:dyDescent="0.45">
      <c r="A56" s="128" t="s">
        <v>87</v>
      </c>
      <c r="B56" s="129">
        <v>800</v>
      </c>
      <c r="C56" s="51" t="str">
        <f>B20</f>
        <v>Sulfamethoxazole &amp; Trimethoprim</v>
      </c>
      <c r="H56" s="130"/>
    </row>
    <row r="57" spans="1:12" ht="18" x14ac:dyDescent="0.35">
      <c r="A57" s="127" t="s">
        <v>88</v>
      </c>
      <c r="B57" s="198">
        <f>Uniformity!C46</f>
        <v>1092.6169999999997</v>
      </c>
      <c r="H57" s="130"/>
    </row>
    <row r="58" spans="1:12" ht="19.5" customHeight="1" x14ac:dyDescent="0.35">
      <c r="H58" s="130"/>
    </row>
    <row r="59" spans="1:12" s="3" customFormat="1" ht="27" customHeight="1" x14ac:dyDescent="0.45">
      <c r="A59" s="74" t="s">
        <v>89</v>
      </c>
      <c r="B59" s="75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2</v>
      </c>
      <c r="C60" s="504" t="s">
        <v>94</v>
      </c>
      <c r="D60" s="507">
        <v>1092.1400000000001</v>
      </c>
      <c r="E60" s="133">
        <v>1</v>
      </c>
      <c r="F60" s="134">
        <v>69792120</v>
      </c>
      <c r="G60" s="199">
        <f>IF(ISBLANK(F60),"-",(F60/$D$50*$D$47*$B$68)*($B$57/$D$60))</f>
        <v>823.32887589596896</v>
      </c>
      <c r="H60" s="217">
        <f t="shared" ref="H60:H71" si="0">IF(ISBLANK(F60),"-",(G60/$B$56)*100)</f>
        <v>102.91610948699612</v>
      </c>
      <c r="L60" s="64"/>
    </row>
    <row r="61" spans="1:12" s="3" customFormat="1" ht="26.25" customHeight="1" x14ac:dyDescent="0.45">
      <c r="A61" s="76" t="s">
        <v>95</v>
      </c>
      <c r="B61" s="77">
        <v>100</v>
      </c>
      <c r="C61" s="505"/>
      <c r="D61" s="508"/>
      <c r="E61" s="135">
        <v>2</v>
      </c>
      <c r="F61" s="88">
        <v>69630331</v>
      </c>
      <c r="G61" s="200">
        <f>IF(ISBLANK(F61),"-",(F61/$D$50*$D$47*$B$68)*($B$57/$D$60))</f>
        <v>821.42027137869229</v>
      </c>
      <c r="H61" s="218">
        <f t="shared" si="0"/>
        <v>102.67753392233654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505"/>
      <c r="D62" s="508"/>
      <c r="E62" s="135">
        <v>3</v>
      </c>
      <c r="F62" s="136">
        <v>69633149</v>
      </c>
      <c r="G62" s="200">
        <f>IF(ISBLANK(F62),"-",(F62/$D$50*$D$47*$B$68)*($B$57/$D$60))</f>
        <v>821.45351497083777</v>
      </c>
      <c r="H62" s="218">
        <f t="shared" si="0"/>
        <v>102.68168937135471</v>
      </c>
      <c r="L62" s="64"/>
    </row>
    <row r="63" spans="1:12" ht="27" customHeight="1" x14ac:dyDescent="0.45">
      <c r="A63" s="76" t="s">
        <v>97</v>
      </c>
      <c r="B63" s="77">
        <v>1</v>
      </c>
      <c r="C63" s="515"/>
      <c r="D63" s="509"/>
      <c r="E63" s="137">
        <v>4</v>
      </c>
      <c r="F63" s="138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504" t="s">
        <v>99</v>
      </c>
      <c r="D64" s="507">
        <v>1090.55</v>
      </c>
      <c r="E64" s="133">
        <v>1</v>
      </c>
      <c r="F64" s="134">
        <v>69388426</v>
      </c>
      <c r="G64" s="199">
        <f>IF(ISBLANK(F64),"-",(F64/$D$50*$D$47*$B$68)*($B$57/$D$64))</f>
        <v>819.76000205905541</v>
      </c>
      <c r="H64" s="217">
        <f t="shared" si="0"/>
        <v>102.47000025738193</v>
      </c>
    </row>
    <row r="65" spans="1:8" ht="26.25" customHeight="1" x14ac:dyDescent="0.45">
      <c r="A65" s="76" t="s">
        <v>100</v>
      </c>
      <c r="B65" s="77">
        <v>1</v>
      </c>
      <c r="C65" s="505"/>
      <c r="D65" s="508"/>
      <c r="E65" s="135">
        <v>2</v>
      </c>
      <c r="F65" s="88">
        <v>69503891</v>
      </c>
      <c r="G65" s="200">
        <f>IF(ISBLANK(F65),"-",(F65/$D$50*$D$47*$B$68)*($B$57/$D$64))</f>
        <v>821.12411411771131</v>
      </c>
      <c r="H65" s="218">
        <f t="shared" si="0"/>
        <v>102.64051426471393</v>
      </c>
    </row>
    <row r="66" spans="1:8" ht="26.25" customHeight="1" x14ac:dyDescent="0.45">
      <c r="A66" s="76" t="s">
        <v>101</v>
      </c>
      <c r="B66" s="77">
        <v>1</v>
      </c>
      <c r="C66" s="505"/>
      <c r="D66" s="508"/>
      <c r="E66" s="135">
        <v>3</v>
      </c>
      <c r="F66" s="88">
        <v>69387828</v>
      </c>
      <c r="G66" s="200">
        <f>IF(ISBLANK(F66),"-",(F66/$D$50*$D$47*$B$68)*($B$57/$D$64))</f>
        <v>819.75293724278129</v>
      </c>
      <c r="H66" s="218">
        <f t="shared" si="0"/>
        <v>102.46911715534766</v>
      </c>
    </row>
    <row r="67" spans="1:8" ht="27" customHeight="1" x14ac:dyDescent="0.45">
      <c r="A67" s="76" t="s">
        <v>102</v>
      </c>
      <c r="B67" s="77">
        <v>1</v>
      </c>
      <c r="C67" s="515"/>
      <c r="D67" s="509"/>
      <c r="E67" s="137">
        <v>4</v>
      </c>
      <c r="F67" s="138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5">
      <c r="A68" s="76" t="s">
        <v>103</v>
      </c>
      <c r="B68" s="139">
        <f>(B67/B66)*(B65/B64)*(B63/B62)*(B61/B60)*B59</f>
        <v>5000</v>
      </c>
      <c r="C68" s="504" t="s">
        <v>104</v>
      </c>
      <c r="D68" s="507">
        <v>1092.58</v>
      </c>
      <c r="E68" s="133">
        <v>1</v>
      </c>
      <c r="F68" s="134">
        <v>69261847</v>
      </c>
      <c r="G68" s="199">
        <f>IF(ISBLANK(F68),"-",(F68/$D$50*$D$47*$B$68)*($B$57/$D$68))</f>
        <v>816.74426299173035</v>
      </c>
      <c r="H68" s="218">
        <f t="shared" si="0"/>
        <v>102.09303287396629</v>
      </c>
    </row>
    <row r="69" spans="1:8" ht="27" customHeight="1" x14ac:dyDescent="0.5">
      <c r="A69" s="123" t="s">
        <v>105</v>
      </c>
      <c r="B69" s="140">
        <f>(D47*B68)/B56*B57</f>
        <v>1092.6169999999997</v>
      </c>
      <c r="C69" s="505"/>
      <c r="D69" s="508"/>
      <c r="E69" s="135">
        <v>2</v>
      </c>
      <c r="F69" s="88">
        <v>69315673</v>
      </c>
      <c r="G69" s="200">
        <f>IF(ISBLANK(F69),"-",(F69/$D$50*$D$47*$B$68)*($B$57/$D$68))</f>
        <v>817.37898583849187</v>
      </c>
      <c r="H69" s="218">
        <f t="shared" si="0"/>
        <v>102.17237322981147</v>
      </c>
    </row>
    <row r="70" spans="1:8" ht="26.25" customHeight="1" x14ac:dyDescent="0.45">
      <c r="A70" s="510" t="s">
        <v>78</v>
      </c>
      <c r="B70" s="511"/>
      <c r="C70" s="505"/>
      <c r="D70" s="508"/>
      <c r="E70" s="135">
        <v>3</v>
      </c>
      <c r="F70" s="88">
        <v>69210484</v>
      </c>
      <c r="G70" s="200">
        <f>IF(ISBLANK(F70),"-",(F70/$D$50*$D$47*$B$68)*($B$57/$D$68))</f>
        <v>816.13858414548122</v>
      </c>
      <c r="H70" s="218">
        <f t="shared" si="0"/>
        <v>102.01732301818515</v>
      </c>
    </row>
    <row r="71" spans="1:8" ht="27" customHeight="1" x14ac:dyDescent="0.45">
      <c r="A71" s="512"/>
      <c r="B71" s="513"/>
      <c r="C71" s="506"/>
      <c r="D71" s="509"/>
      <c r="E71" s="137">
        <v>4</v>
      </c>
      <c r="F71" s="138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5">
      <c r="A72" s="141"/>
      <c r="B72" s="141"/>
      <c r="C72" s="141"/>
      <c r="D72" s="141"/>
      <c r="E72" s="141"/>
      <c r="F72" s="143" t="s">
        <v>71</v>
      </c>
      <c r="G72" s="205">
        <f>AVERAGE(G60:G71)</f>
        <v>819.67794984897228</v>
      </c>
      <c r="H72" s="220">
        <f>AVERAGE(H60:H71)</f>
        <v>102.45974373112153</v>
      </c>
    </row>
    <row r="73" spans="1:8" ht="26.25" customHeight="1" x14ac:dyDescent="0.45">
      <c r="C73" s="141"/>
      <c r="D73" s="141"/>
      <c r="E73" s="141"/>
      <c r="F73" s="144" t="s">
        <v>84</v>
      </c>
      <c r="G73" s="204">
        <f>STDEV(G60:G71)/G72</f>
        <v>2.9896069883774286E-3</v>
      </c>
      <c r="H73" s="204">
        <f>STDEV(H60:H71)/H72</f>
        <v>2.9896069883774425E-3</v>
      </c>
    </row>
    <row r="74" spans="1:8" ht="27" customHeight="1" x14ac:dyDescent="0.45">
      <c r="A74" s="141"/>
      <c r="B74" s="141"/>
      <c r="C74" s="142"/>
      <c r="D74" s="142"/>
      <c r="E74" s="145"/>
      <c r="F74" s="146" t="s">
        <v>20</v>
      </c>
      <c r="G74" s="147">
        <f>COUNT(G60:G71)</f>
        <v>9</v>
      </c>
      <c r="H74" s="147">
        <f>COUNT(H60:H71)</f>
        <v>9</v>
      </c>
    </row>
    <row r="76" spans="1:8" ht="26.25" customHeight="1" x14ac:dyDescent="0.45">
      <c r="A76" s="60" t="s">
        <v>106</v>
      </c>
      <c r="B76" s="148" t="s">
        <v>107</v>
      </c>
      <c r="C76" s="491" t="str">
        <f>B26</f>
        <v xml:space="preserve">Sulfamethoxazole </v>
      </c>
      <c r="D76" s="491"/>
      <c r="E76" s="149" t="s">
        <v>108</v>
      </c>
      <c r="F76" s="149"/>
      <c r="G76" s="236">
        <f>H72</f>
        <v>102.45974373112153</v>
      </c>
      <c r="H76" s="151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523" t="str">
        <f>B26</f>
        <v xml:space="preserve">Sulfamethoxazole </v>
      </c>
      <c r="C79" s="523"/>
    </row>
    <row r="80" spans="1:8" ht="26.25" customHeight="1" x14ac:dyDescent="0.45">
      <c r="A80" s="61" t="s">
        <v>48</v>
      </c>
      <c r="B80" s="523" t="str">
        <f>B27</f>
        <v>S12-6</v>
      </c>
      <c r="C80" s="523"/>
    </row>
    <row r="81" spans="1:12" ht="27" customHeight="1" x14ac:dyDescent="0.45">
      <c r="A81" s="61" t="s">
        <v>6</v>
      </c>
      <c r="B81" s="152">
        <f>B28</f>
        <v>99.02</v>
      </c>
    </row>
    <row r="82" spans="1:12" s="3" customFormat="1" ht="27" customHeight="1" x14ac:dyDescent="0.5">
      <c r="A82" s="61" t="s">
        <v>49</v>
      </c>
      <c r="B82" s="63">
        <v>0</v>
      </c>
      <c r="C82" s="493" t="s">
        <v>50</v>
      </c>
      <c r="D82" s="494"/>
      <c r="E82" s="494"/>
      <c r="F82" s="494"/>
      <c r="G82" s="495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99.02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496" t="s">
        <v>111</v>
      </c>
      <c r="D84" s="497"/>
      <c r="E84" s="497"/>
      <c r="F84" s="497"/>
      <c r="G84" s="497"/>
      <c r="H84" s="498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496" t="s">
        <v>112</v>
      </c>
      <c r="D85" s="497"/>
      <c r="E85" s="497"/>
      <c r="F85" s="497"/>
      <c r="G85" s="497"/>
      <c r="H85" s="498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100</v>
      </c>
      <c r="D89" s="153" t="s">
        <v>59</v>
      </c>
      <c r="E89" s="154"/>
      <c r="F89" s="499" t="s">
        <v>60</v>
      </c>
      <c r="G89" s="500"/>
    </row>
    <row r="90" spans="1:12" ht="27" customHeight="1" x14ac:dyDescent="0.45">
      <c r="A90" s="76" t="s">
        <v>61</v>
      </c>
      <c r="B90" s="77">
        <v>1</v>
      </c>
      <c r="C90" s="155" t="s">
        <v>62</v>
      </c>
      <c r="D90" s="79" t="s">
        <v>63</v>
      </c>
      <c r="E90" s="80" t="s">
        <v>64</v>
      </c>
      <c r="F90" s="79" t="s">
        <v>63</v>
      </c>
      <c r="G90" s="156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1</v>
      </c>
      <c r="C91" s="157">
        <v>1</v>
      </c>
      <c r="D91" s="470">
        <v>68064455</v>
      </c>
      <c r="E91" s="84">
        <f>IF(ISBLANK(D91),"-",$D$101/$D$98*D91)</f>
        <v>75293312.263979703</v>
      </c>
      <c r="F91" s="470">
        <v>71921391</v>
      </c>
      <c r="G91" s="85">
        <f>IF(ISBLANK(F91),"-",$D$101/$F$98*F91)</f>
        <v>75733538.037380204</v>
      </c>
      <c r="I91" s="86"/>
    </row>
    <row r="92" spans="1:12" ht="26.25" customHeight="1" x14ac:dyDescent="0.45">
      <c r="A92" s="76" t="s">
        <v>67</v>
      </c>
      <c r="B92" s="77">
        <v>1</v>
      </c>
      <c r="C92" s="142">
        <v>2</v>
      </c>
      <c r="D92" s="471">
        <v>67717132</v>
      </c>
      <c r="E92" s="89">
        <f>IF(ISBLANK(D92),"-",$D$101/$D$98*D92)</f>
        <v>74909101.458274111</v>
      </c>
      <c r="F92" s="471">
        <v>71968978</v>
      </c>
      <c r="G92" s="90">
        <f>IF(ISBLANK(F92),"-",$D$101/$F$98*F92)</f>
        <v>75783647.355685592</v>
      </c>
      <c r="I92" s="501">
        <f>ABS((F96/D96*D95)-F95)/D95</f>
        <v>1.1158384275030596E-2</v>
      </c>
    </row>
    <row r="93" spans="1:12" ht="26.25" customHeight="1" x14ac:dyDescent="0.45">
      <c r="A93" s="76" t="s">
        <v>68</v>
      </c>
      <c r="B93" s="77">
        <v>1</v>
      </c>
      <c r="C93" s="142">
        <v>3</v>
      </c>
      <c r="D93" s="471">
        <v>67573484</v>
      </c>
      <c r="E93" s="89">
        <f>IF(ISBLANK(D93),"-",$D$101/$D$98*D93)</f>
        <v>74750197.170858651</v>
      </c>
      <c r="F93" s="471">
        <v>72008071</v>
      </c>
      <c r="G93" s="90">
        <f>IF(ISBLANK(F93),"-",$D$101/$F$98*F93)</f>
        <v>75824812.454988182</v>
      </c>
      <c r="I93" s="501"/>
    </row>
    <row r="94" spans="1:12" ht="27" customHeight="1" x14ac:dyDescent="0.45">
      <c r="A94" s="76" t="s">
        <v>69</v>
      </c>
      <c r="B94" s="77">
        <v>1</v>
      </c>
      <c r="C94" s="158">
        <v>4</v>
      </c>
      <c r="D94" s="93"/>
      <c r="E94" s="94" t="str">
        <f>IF(ISBLANK(D94),"-",$D$101/$D$98*D94)</f>
        <v>-</v>
      </c>
      <c r="F94" s="159"/>
      <c r="G94" s="95" t="str">
        <f>IF(ISBLANK(F94),"-",$D$101/$F$98*F94)</f>
        <v>-</v>
      </c>
      <c r="I94" s="96"/>
    </row>
    <row r="95" spans="1:12" ht="27" customHeight="1" x14ac:dyDescent="0.45">
      <c r="A95" s="76" t="s">
        <v>70</v>
      </c>
      <c r="B95" s="77">
        <v>1</v>
      </c>
      <c r="C95" s="160" t="s">
        <v>71</v>
      </c>
      <c r="D95" s="161">
        <f>AVERAGE(D91:D94)</f>
        <v>67785023.666666672</v>
      </c>
      <c r="E95" s="99">
        <f>AVERAGE(E91:E94)</f>
        <v>74984203.631037489</v>
      </c>
      <c r="F95" s="162">
        <f>AVERAGE(F91:F94)</f>
        <v>71966146.666666672</v>
      </c>
      <c r="G95" s="163">
        <f>AVERAGE(G91:G94)</f>
        <v>75780665.949351326</v>
      </c>
    </row>
    <row r="96" spans="1:12" ht="26.25" customHeight="1" x14ac:dyDescent="0.45">
      <c r="A96" s="76" t="s">
        <v>72</v>
      </c>
      <c r="B96" s="62">
        <v>1</v>
      </c>
      <c r="C96" s="164" t="s">
        <v>113</v>
      </c>
      <c r="D96" s="165">
        <v>16.23</v>
      </c>
      <c r="E96" s="91"/>
      <c r="F96" s="103">
        <v>17.05</v>
      </c>
    </row>
    <row r="97" spans="1:10" ht="26.25" customHeight="1" x14ac:dyDescent="0.45">
      <c r="A97" s="76" t="s">
        <v>74</v>
      </c>
      <c r="B97" s="62">
        <v>1</v>
      </c>
      <c r="C97" s="166" t="s">
        <v>114</v>
      </c>
      <c r="D97" s="167">
        <f>D96*$B$87</f>
        <v>16.23</v>
      </c>
      <c r="E97" s="106"/>
      <c r="F97" s="105">
        <f>F96*$B$87</f>
        <v>17.05</v>
      </c>
    </row>
    <row r="98" spans="1:10" ht="19.5" customHeight="1" x14ac:dyDescent="0.35">
      <c r="A98" s="76" t="s">
        <v>76</v>
      </c>
      <c r="B98" s="168">
        <f>(B97/B96)*(B95/B94)*(B93/B92)*(B91/B90)*B89</f>
        <v>100</v>
      </c>
      <c r="C98" s="166" t="s">
        <v>115</v>
      </c>
      <c r="D98" s="169">
        <f>D97*$B$83/100</f>
        <v>16.070945999999999</v>
      </c>
      <c r="E98" s="109"/>
      <c r="F98" s="108">
        <f>F97*$B$83/100</f>
        <v>16.882909999999999</v>
      </c>
    </row>
    <row r="99" spans="1:10" ht="19.5" customHeight="1" x14ac:dyDescent="0.35">
      <c r="A99" s="487" t="s">
        <v>78</v>
      </c>
      <c r="B99" s="502"/>
      <c r="C99" s="166" t="s">
        <v>116</v>
      </c>
      <c r="D99" s="170">
        <f>D98/$B$98</f>
        <v>0.16070946</v>
      </c>
      <c r="E99" s="109"/>
      <c r="F99" s="112">
        <f>F98/$B$98</f>
        <v>0.16882909999999998</v>
      </c>
      <c r="G99" s="171"/>
      <c r="H99" s="101"/>
    </row>
    <row r="100" spans="1:10" ht="19.5" customHeight="1" x14ac:dyDescent="0.35">
      <c r="A100" s="489"/>
      <c r="B100" s="503"/>
      <c r="C100" s="166" t="s">
        <v>80</v>
      </c>
      <c r="D100" s="172">
        <f>$B$56/$B$116</f>
        <v>0.17777777777777778</v>
      </c>
      <c r="F100" s="117"/>
      <c r="G100" s="173"/>
      <c r="H100" s="101"/>
    </row>
    <row r="101" spans="1:10" ht="18" x14ac:dyDescent="0.35">
      <c r="C101" s="166" t="s">
        <v>81</v>
      </c>
      <c r="D101" s="167">
        <f>D100*$B$98</f>
        <v>17.777777777777779</v>
      </c>
      <c r="F101" s="117"/>
      <c r="G101" s="171"/>
      <c r="H101" s="101"/>
    </row>
    <row r="102" spans="1:10" ht="19.5" customHeight="1" x14ac:dyDescent="0.35">
      <c r="C102" s="174" t="s">
        <v>82</v>
      </c>
      <c r="D102" s="175">
        <f>D101/B34</f>
        <v>17.777777777777779</v>
      </c>
      <c r="F102" s="121"/>
      <c r="G102" s="171"/>
      <c r="H102" s="101"/>
      <c r="J102" s="176"/>
    </row>
    <row r="103" spans="1:10" ht="18" x14ac:dyDescent="0.35">
      <c r="C103" s="177" t="s">
        <v>117</v>
      </c>
      <c r="D103" s="178">
        <f>AVERAGE(E91:E94,G91:G94)</f>
        <v>75382434.790194407</v>
      </c>
      <c r="F103" s="121"/>
      <c r="G103" s="179"/>
      <c r="H103" s="101"/>
      <c r="J103" s="180"/>
    </row>
    <row r="104" spans="1:10" ht="18" x14ac:dyDescent="0.35">
      <c r="C104" s="144" t="s">
        <v>84</v>
      </c>
      <c r="D104" s="181">
        <f>STDEV(E91:E94,G91:G94)/D103</f>
        <v>6.2550356420885238E-3</v>
      </c>
      <c r="F104" s="121"/>
      <c r="G104" s="171"/>
      <c r="H104" s="101"/>
      <c r="J104" s="180"/>
    </row>
    <row r="105" spans="1:10" ht="19.5" customHeight="1" x14ac:dyDescent="0.35">
      <c r="C105" s="146" t="s">
        <v>20</v>
      </c>
      <c r="D105" s="182">
        <f>COUNT(E91:E94,G91:G94)</f>
        <v>6</v>
      </c>
      <c r="F105" s="121"/>
      <c r="G105" s="171"/>
      <c r="H105" s="101"/>
      <c r="J105" s="180"/>
    </row>
    <row r="106" spans="1:10" ht="19.5" customHeight="1" x14ac:dyDescent="0.35">
      <c r="A106" s="125"/>
      <c r="B106" s="125"/>
      <c r="C106" s="125"/>
      <c r="D106" s="125"/>
      <c r="E106" s="125"/>
    </row>
    <row r="107" spans="1:10" ht="27" customHeight="1" x14ac:dyDescent="0.45">
      <c r="A107" s="74" t="s">
        <v>118</v>
      </c>
      <c r="B107" s="75">
        <v>900</v>
      </c>
      <c r="C107" s="221" t="s">
        <v>119</v>
      </c>
      <c r="D107" s="221" t="s">
        <v>63</v>
      </c>
      <c r="E107" s="221" t="s">
        <v>120</v>
      </c>
      <c r="F107" s="183" t="s">
        <v>121</v>
      </c>
    </row>
    <row r="108" spans="1:10" ht="26.25" customHeight="1" x14ac:dyDescent="0.45">
      <c r="A108" s="76" t="s">
        <v>122</v>
      </c>
      <c r="B108" s="77">
        <v>10</v>
      </c>
      <c r="C108" s="226">
        <v>1</v>
      </c>
      <c r="D108" s="227">
        <v>76309450</v>
      </c>
      <c r="E108" s="201">
        <f t="shared" ref="E108:E113" si="1">IF(ISBLANK(D108),"-",D108/$D$103*$D$100*$B$116)</f>
        <v>809.83799700697568</v>
      </c>
      <c r="F108" s="228">
        <f t="shared" ref="F108:F113" si="2">IF(ISBLANK(D108), "-", (E108/$B$56)*100)</f>
        <v>101.22974962587196</v>
      </c>
    </row>
    <row r="109" spans="1:10" ht="26.25" customHeight="1" x14ac:dyDescent="0.45">
      <c r="A109" s="76" t="s">
        <v>95</v>
      </c>
      <c r="B109" s="77">
        <v>50</v>
      </c>
      <c r="C109" s="222">
        <v>2</v>
      </c>
      <c r="D109" s="224">
        <v>75578562</v>
      </c>
      <c r="E109" s="202">
        <f t="shared" si="1"/>
        <v>802.0814101890071</v>
      </c>
      <c r="F109" s="229">
        <f t="shared" si="2"/>
        <v>100.26017627362589</v>
      </c>
    </row>
    <row r="110" spans="1:10" ht="26.25" customHeight="1" x14ac:dyDescent="0.45">
      <c r="A110" s="76" t="s">
        <v>96</v>
      </c>
      <c r="B110" s="77">
        <v>1</v>
      </c>
      <c r="C110" s="222">
        <v>3</v>
      </c>
      <c r="D110" s="224">
        <v>75742926</v>
      </c>
      <c r="E110" s="202">
        <f t="shared" si="1"/>
        <v>803.82573166609893</v>
      </c>
      <c r="F110" s="229">
        <f t="shared" si="2"/>
        <v>100.47821645826235</v>
      </c>
    </row>
    <row r="111" spans="1:10" ht="26.25" customHeight="1" x14ac:dyDescent="0.45">
      <c r="A111" s="76" t="s">
        <v>97</v>
      </c>
      <c r="B111" s="77">
        <v>1</v>
      </c>
      <c r="C111" s="222">
        <v>4</v>
      </c>
      <c r="D111" s="224">
        <v>74611690</v>
      </c>
      <c r="E111" s="202">
        <f t="shared" si="1"/>
        <v>791.82043092835033</v>
      </c>
      <c r="F111" s="229">
        <f t="shared" si="2"/>
        <v>98.977553866043792</v>
      </c>
    </row>
    <row r="112" spans="1:10" ht="26.25" customHeight="1" x14ac:dyDescent="0.45">
      <c r="A112" s="76" t="s">
        <v>98</v>
      </c>
      <c r="B112" s="77">
        <v>1</v>
      </c>
      <c r="C112" s="222">
        <v>5</v>
      </c>
      <c r="D112" s="224">
        <v>75320465</v>
      </c>
      <c r="E112" s="202">
        <f t="shared" si="1"/>
        <v>799.34234238661168</v>
      </c>
      <c r="F112" s="229">
        <f t="shared" si="2"/>
        <v>99.91779279832646</v>
      </c>
    </row>
    <row r="113" spans="1:10" ht="27" customHeight="1" x14ac:dyDescent="0.45">
      <c r="A113" s="76" t="s">
        <v>100</v>
      </c>
      <c r="B113" s="77">
        <v>1</v>
      </c>
      <c r="C113" s="223">
        <v>6</v>
      </c>
      <c r="D113" s="225">
        <v>75603482</v>
      </c>
      <c r="E113" s="203">
        <f t="shared" si="1"/>
        <v>802.34587498183964</v>
      </c>
      <c r="F113" s="230">
        <f t="shared" si="2"/>
        <v>100.29323437272994</v>
      </c>
    </row>
    <row r="114" spans="1:10" ht="27" customHeight="1" x14ac:dyDescent="0.45">
      <c r="A114" s="76" t="s">
        <v>101</v>
      </c>
      <c r="B114" s="77">
        <v>1</v>
      </c>
      <c r="C114" s="184"/>
      <c r="D114" s="142"/>
      <c r="E114" s="50"/>
      <c r="F114" s="231"/>
    </row>
    <row r="115" spans="1:10" ht="26.25" customHeight="1" x14ac:dyDescent="0.45">
      <c r="A115" s="76" t="s">
        <v>102</v>
      </c>
      <c r="B115" s="77">
        <v>1</v>
      </c>
      <c r="C115" s="184"/>
      <c r="D115" s="208" t="s">
        <v>71</v>
      </c>
      <c r="E115" s="210">
        <f>AVERAGE(E108:E113)</f>
        <v>801.54229785981386</v>
      </c>
      <c r="F115" s="232">
        <f>AVERAGE(F108:F113)</f>
        <v>100.19278723247673</v>
      </c>
    </row>
    <row r="116" spans="1:10" ht="27" customHeight="1" x14ac:dyDescent="0.45">
      <c r="A116" s="76" t="s">
        <v>103</v>
      </c>
      <c r="B116" s="107">
        <f>(B115/B114)*(B113/B112)*(B111/B110)*(B109/B108)*B107</f>
        <v>4500</v>
      </c>
      <c r="C116" s="185"/>
      <c r="D116" s="209" t="s">
        <v>84</v>
      </c>
      <c r="E116" s="207">
        <f>STDEV(E108:E113)/E115</f>
        <v>7.3665919200124382E-3</v>
      </c>
      <c r="F116" s="186">
        <f>STDEV(F108:F113)/F115</f>
        <v>7.3665919200124226E-3</v>
      </c>
      <c r="I116" s="50"/>
    </row>
    <row r="117" spans="1:10" ht="27" customHeight="1" x14ac:dyDescent="0.45">
      <c r="A117" s="487" t="s">
        <v>78</v>
      </c>
      <c r="B117" s="488"/>
      <c r="C117" s="187"/>
      <c r="D117" s="146" t="s">
        <v>20</v>
      </c>
      <c r="E117" s="212">
        <f>COUNT(E108:E113)</f>
        <v>6</v>
      </c>
      <c r="F117" s="213">
        <f>COUNT(F108:F113)</f>
        <v>6</v>
      </c>
      <c r="I117" s="50"/>
      <c r="J117" s="180"/>
    </row>
    <row r="118" spans="1:10" ht="26.25" customHeight="1" x14ac:dyDescent="0.35">
      <c r="A118" s="489"/>
      <c r="B118" s="490"/>
      <c r="C118" s="50"/>
      <c r="D118" s="211"/>
      <c r="E118" s="524" t="s">
        <v>123</v>
      </c>
      <c r="F118" s="525"/>
      <c r="G118" s="50"/>
      <c r="H118" s="50"/>
      <c r="I118" s="50"/>
    </row>
    <row r="119" spans="1:10" ht="25.5" customHeight="1" x14ac:dyDescent="0.45">
      <c r="A119" s="196"/>
      <c r="B119" s="72"/>
      <c r="C119" s="50"/>
      <c r="D119" s="209" t="s">
        <v>124</v>
      </c>
      <c r="E119" s="214">
        <f>MIN(E108:E113)</f>
        <v>791.82043092835033</v>
      </c>
      <c r="F119" s="233">
        <f>MIN(F108:F113)</f>
        <v>98.977553866043792</v>
      </c>
      <c r="G119" s="50"/>
      <c r="H119" s="50"/>
      <c r="I119" s="50"/>
    </row>
    <row r="120" spans="1:10" ht="24" customHeight="1" x14ac:dyDescent="0.45">
      <c r="A120" s="196"/>
      <c r="B120" s="72"/>
      <c r="C120" s="50"/>
      <c r="D120" s="118" t="s">
        <v>125</v>
      </c>
      <c r="E120" s="215">
        <f>MAX(E108:E113)</f>
        <v>809.83799700697568</v>
      </c>
      <c r="F120" s="234">
        <f>MAX(F108:F113)</f>
        <v>101.22974962587196</v>
      </c>
      <c r="G120" s="50"/>
      <c r="H120" s="50"/>
      <c r="I120" s="50"/>
    </row>
    <row r="121" spans="1:10" ht="27" customHeight="1" x14ac:dyDescent="0.35">
      <c r="A121" s="196"/>
      <c r="B121" s="72"/>
      <c r="C121" s="50"/>
      <c r="D121" s="50"/>
      <c r="E121" s="50"/>
      <c r="F121" s="142"/>
      <c r="G121" s="50"/>
      <c r="H121" s="50"/>
      <c r="I121" s="50"/>
    </row>
    <row r="122" spans="1:10" ht="25.5" customHeight="1" x14ac:dyDescent="0.35">
      <c r="A122" s="196"/>
      <c r="B122" s="72"/>
      <c r="C122" s="50"/>
      <c r="D122" s="50"/>
      <c r="E122" s="50"/>
      <c r="F122" s="142"/>
      <c r="G122" s="50"/>
      <c r="H122" s="50"/>
      <c r="I122" s="50"/>
    </row>
    <row r="123" spans="1:10" ht="18" x14ac:dyDescent="0.35">
      <c r="A123" s="196"/>
      <c r="B123" s="72"/>
      <c r="C123" s="50"/>
      <c r="D123" s="50"/>
      <c r="E123" s="50"/>
      <c r="F123" s="142"/>
      <c r="G123" s="50"/>
      <c r="H123" s="50"/>
      <c r="I123" s="50"/>
    </row>
    <row r="124" spans="1:10" ht="45.75" customHeight="1" x14ac:dyDescent="0.85">
      <c r="A124" s="60" t="s">
        <v>106</v>
      </c>
      <c r="B124" s="148" t="s">
        <v>126</v>
      </c>
      <c r="C124" s="491" t="str">
        <f>B26</f>
        <v xml:space="preserve">Sulfamethoxazole </v>
      </c>
      <c r="D124" s="491"/>
      <c r="E124" s="149" t="s">
        <v>127</v>
      </c>
      <c r="F124" s="149"/>
      <c r="G124" s="235">
        <f>F115</f>
        <v>100.19278723247673</v>
      </c>
      <c r="H124" s="50"/>
      <c r="I124" s="50"/>
    </row>
    <row r="125" spans="1:10" ht="45.75" customHeight="1" x14ac:dyDescent="0.85">
      <c r="A125" s="60"/>
      <c r="B125" s="148" t="s">
        <v>128</v>
      </c>
      <c r="C125" s="61" t="s">
        <v>129</v>
      </c>
      <c r="D125" s="235">
        <f>MIN(F108:F113)</f>
        <v>98.977553866043792</v>
      </c>
      <c r="E125" s="160" t="s">
        <v>130</v>
      </c>
      <c r="F125" s="235">
        <f>MAX(F108:F113)</f>
        <v>101.22974962587196</v>
      </c>
      <c r="G125" s="150"/>
      <c r="H125" s="50"/>
      <c r="I125" s="50"/>
    </row>
    <row r="126" spans="1:10" ht="19.5" customHeight="1" x14ac:dyDescent="0.35">
      <c r="A126" s="188"/>
      <c r="B126" s="188"/>
      <c r="C126" s="189"/>
      <c r="D126" s="189"/>
      <c r="E126" s="189"/>
      <c r="F126" s="189"/>
      <c r="G126" s="189"/>
      <c r="H126" s="189"/>
    </row>
    <row r="127" spans="1:10" ht="18" x14ac:dyDescent="0.35">
      <c r="B127" s="492" t="s">
        <v>26</v>
      </c>
      <c r="C127" s="492"/>
      <c r="E127" s="155" t="s">
        <v>27</v>
      </c>
      <c r="F127" s="190"/>
      <c r="G127" s="492" t="s">
        <v>28</v>
      </c>
      <c r="H127" s="492"/>
    </row>
    <row r="128" spans="1:10" ht="69.900000000000006" customHeight="1" x14ac:dyDescent="0.35">
      <c r="A128" s="191" t="s">
        <v>29</v>
      </c>
      <c r="B128" s="192"/>
      <c r="C128" s="192"/>
      <c r="E128" s="192"/>
      <c r="F128" s="50"/>
      <c r="G128" s="193"/>
      <c r="H128" s="193"/>
    </row>
    <row r="129" spans="1:9" ht="69.900000000000006" customHeight="1" x14ac:dyDescent="0.35">
      <c r="A129" s="191" t="s">
        <v>30</v>
      </c>
      <c r="B129" s="194"/>
      <c r="C129" s="194"/>
      <c r="E129" s="194"/>
      <c r="F129" s="50"/>
      <c r="G129" s="195"/>
      <c r="H129" s="195"/>
    </row>
    <row r="130" spans="1:9" ht="18" x14ac:dyDescent="0.35">
      <c r="A130" s="141"/>
      <c r="B130" s="141"/>
      <c r="C130" s="142"/>
      <c r="D130" s="142"/>
      <c r="E130" s="142"/>
      <c r="F130" s="145"/>
      <c r="G130" s="142"/>
      <c r="H130" s="142"/>
      <c r="I130" s="50"/>
    </row>
    <row r="131" spans="1:9" ht="18" x14ac:dyDescent="0.35">
      <c r="A131" s="141"/>
      <c r="B131" s="141"/>
      <c r="C131" s="142"/>
      <c r="D131" s="142"/>
      <c r="E131" s="142"/>
      <c r="F131" s="145"/>
      <c r="G131" s="142"/>
      <c r="H131" s="142"/>
      <c r="I131" s="50"/>
    </row>
    <row r="132" spans="1:9" ht="18" x14ac:dyDescent="0.35">
      <c r="A132" s="141"/>
      <c r="B132" s="141"/>
      <c r="C132" s="142"/>
      <c r="D132" s="142"/>
      <c r="E132" s="142"/>
      <c r="F132" s="145"/>
      <c r="G132" s="142"/>
      <c r="H132" s="142"/>
      <c r="I132" s="50"/>
    </row>
    <row r="133" spans="1:9" ht="18" x14ac:dyDescent="0.35">
      <c r="A133" s="141"/>
      <c r="B133" s="141"/>
      <c r="C133" s="142"/>
      <c r="D133" s="142"/>
      <c r="E133" s="142"/>
      <c r="F133" s="145"/>
      <c r="G133" s="142"/>
      <c r="H133" s="142"/>
      <c r="I133" s="50"/>
    </row>
    <row r="134" spans="1:9" ht="18" x14ac:dyDescent="0.35">
      <c r="A134" s="141"/>
      <c r="B134" s="141"/>
      <c r="C134" s="142"/>
      <c r="D134" s="142"/>
      <c r="E134" s="142"/>
      <c r="F134" s="145"/>
      <c r="G134" s="142"/>
      <c r="H134" s="142"/>
      <c r="I134" s="50"/>
    </row>
    <row r="135" spans="1:9" ht="18" x14ac:dyDescent="0.35">
      <c r="A135" s="141"/>
      <c r="B135" s="141"/>
      <c r="C135" s="142"/>
      <c r="D135" s="142"/>
      <c r="E135" s="142"/>
      <c r="F135" s="145"/>
      <c r="G135" s="142"/>
      <c r="H135" s="142"/>
      <c r="I135" s="50"/>
    </row>
    <row r="136" spans="1:9" ht="18" x14ac:dyDescent="0.35">
      <c r="A136" s="141"/>
      <c r="B136" s="141"/>
      <c r="C136" s="142"/>
      <c r="D136" s="142"/>
      <c r="E136" s="142"/>
      <c r="F136" s="145"/>
      <c r="G136" s="142"/>
      <c r="H136" s="142"/>
      <c r="I136" s="50"/>
    </row>
    <row r="137" spans="1:9" ht="18" x14ac:dyDescent="0.35">
      <c r="A137" s="141"/>
      <c r="B137" s="141"/>
      <c r="C137" s="142"/>
      <c r="D137" s="142"/>
      <c r="E137" s="142"/>
      <c r="F137" s="145"/>
      <c r="G137" s="142"/>
      <c r="H137" s="142"/>
      <c r="I137" s="50"/>
    </row>
    <row r="138" spans="1:9" ht="18" x14ac:dyDescent="0.35">
      <c r="A138" s="141"/>
      <c r="B138" s="141"/>
      <c r="C138" s="142"/>
      <c r="D138" s="142"/>
      <c r="E138" s="142"/>
      <c r="F138" s="145"/>
      <c r="G138" s="142"/>
      <c r="H138" s="142"/>
      <c r="I138" s="50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B79:C79"/>
    <mergeCell ref="B80:C80"/>
    <mergeCell ref="E118:F118"/>
    <mergeCell ref="C64:C67"/>
    <mergeCell ref="D64:D67"/>
    <mergeCell ref="C60:C63"/>
    <mergeCell ref="D60:D63"/>
    <mergeCell ref="B26:C26"/>
    <mergeCell ref="A16:H16"/>
    <mergeCell ref="A17:H17"/>
    <mergeCell ref="B18:C18"/>
    <mergeCell ref="B20:C20"/>
    <mergeCell ref="B21:H21"/>
    <mergeCell ref="C32:H32"/>
    <mergeCell ref="D36:E36"/>
    <mergeCell ref="F36:G36"/>
    <mergeCell ref="B27:C27"/>
    <mergeCell ref="C29:G29"/>
    <mergeCell ref="C31:H31"/>
    <mergeCell ref="I39:I40"/>
    <mergeCell ref="A46:B4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9" zoomScale="60" zoomScaleNormal="40" zoomScalePageLayoutView="46" workbookViewId="0">
      <selection activeCell="D113" sqref="D113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485" t="s">
        <v>45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3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3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3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3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3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3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3">
      <c r="A8" s="486" t="s">
        <v>46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3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3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3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3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3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3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x14ac:dyDescent="0.35">
      <c r="A15" s="237"/>
    </row>
    <row r="16" spans="1:9" ht="19.5" customHeight="1" x14ac:dyDescent="0.35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3">
      <c r="A17" s="520" t="s">
        <v>47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5">
      <c r="A18" s="239" t="s">
        <v>33</v>
      </c>
      <c r="B18" s="516" t="s">
        <v>142</v>
      </c>
      <c r="C18" s="516"/>
      <c r="D18" s="384"/>
      <c r="E18" s="240"/>
      <c r="F18" s="241"/>
      <c r="G18" s="241"/>
      <c r="H18" s="241"/>
    </row>
    <row r="19" spans="1:14" ht="26.25" customHeight="1" x14ac:dyDescent="0.5">
      <c r="A19" s="239" t="s">
        <v>34</v>
      </c>
      <c r="B19" s="242" t="s">
        <v>7</v>
      </c>
      <c r="C19" s="393">
        <v>1</v>
      </c>
      <c r="D19" s="241"/>
      <c r="E19" s="241"/>
      <c r="F19" s="241"/>
      <c r="G19" s="241"/>
      <c r="H19" s="241"/>
    </row>
    <row r="20" spans="1:14" ht="26.25" customHeight="1" x14ac:dyDescent="0.5">
      <c r="A20" s="239" t="s">
        <v>35</v>
      </c>
      <c r="B20" s="521" t="s">
        <v>9</v>
      </c>
      <c r="C20" s="521"/>
      <c r="D20" s="241"/>
      <c r="E20" s="241"/>
      <c r="F20" s="241"/>
      <c r="G20" s="241"/>
      <c r="H20" s="241"/>
    </row>
    <row r="21" spans="1:14" ht="26.25" customHeight="1" x14ac:dyDescent="0.35">
      <c r="A21" s="239" t="s">
        <v>36</v>
      </c>
      <c r="B21" s="474" t="s">
        <v>11</v>
      </c>
      <c r="C21" s="474"/>
      <c r="D21" s="474"/>
      <c r="E21" s="474"/>
      <c r="F21" s="474"/>
      <c r="G21" s="474"/>
      <c r="H21" s="474"/>
      <c r="I21" s="243"/>
    </row>
    <row r="22" spans="1:14" ht="26.25" customHeight="1" x14ac:dyDescent="0.5">
      <c r="A22" s="239" t="s">
        <v>37</v>
      </c>
      <c r="B22" s="244" t="s">
        <v>12</v>
      </c>
      <c r="C22" s="241"/>
      <c r="D22" s="241"/>
      <c r="E22" s="241"/>
      <c r="F22" s="241"/>
      <c r="G22" s="241"/>
      <c r="H22" s="241"/>
    </row>
    <row r="23" spans="1:14" ht="26.25" customHeight="1" x14ac:dyDescent="0.5">
      <c r="A23" s="239" t="s">
        <v>38</v>
      </c>
      <c r="B23" s="244"/>
      <c r="C23" s="241"/>
      <c r="D23" s="241"/>
      <c r="E23" s="241"/>
      <c r="F23" s="241"/>
      <c r="G23" s="241"/>
      <c r="H23" s="241"/>
    </row>
    <row r="24" spans="1:14" ht="18" x14ac:dyDescent="0.35">
      <c r="A24" s="239"/>
      <c r="B24" s="245"/>
    </row>
    <row r="25" spans="1:14" ht="18" x14ac:dyDescent="0.35">
      <c r="A25" s="246" t="s">
        <v>1</v>
      </c>
      <c r="B25" s="245"/>
    </row>
    <row r="26" spans="1:14" ht="26.25" customHeight="1" x14ac:dyDescent="0.45">
      <c r="A26" s="247" t="s">
        <v>4</v>
      </c>
      <c r="B26" s="523" t="s">
        <v>140</v>
      </c>
      <c r="C26" s="523"/>
    </row>
    <row r="27" spans="1:14" ht="26.25" customHeight="1" x14ac:dyDescent="0.5">
      <c r="A27" s="248" t="s">
        <v>48</v>
      </c>
      <c r="B27" s="514" t="s">
        <v>141</v>
      </c>
      <c r="C27" s="514"/>
    </row>
    <row r="28" spans="1:14" ht="27" customHeight="1" x14ac:dyDescent="0.45">
      <c r="A28" s="248" t="s">
        <v>6</v>
      </c>
      <c r="B28" s="249">
        <v>99.7</v>
      </c>
    </row>
    <row r="29" spans="1:14" s="3" customFormat="1" ht="27" customHeight="1" x14ac:dyDescent="0.5">
      <c r="A29" s="248" t="s">
        <v>49</v>
      </c>
      <c r="B29" s="250">
        <v>0</v>
      </c>
      <c r="C29" s="493" t="s">
        <v>50</v>
      </c>
      <c r="D29" s="494"/>
      <c r="E29" s="494"/>
      <c r="F29" s="494"/>
      <c r="G29" s="495"/>
      <c r="I29" s="251"/>
      <c r="J29" s="251"/>
      <c r="K29" s="251"/>
      <c r="L29" s="251"/>
    </row>
    <row r="30" spans="1:14" s="3" customFormat="1" ht="19.5" customHeight="1" x14ac:dyDescent="0.35">
      <c r="A30" s="248" t="s">
        <v>51</v>
      </c>
      <c r="B30" s="252">
        <f>B28-B29</f>
        <v>99.7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5">
      <c r="A31" s="248" t="s">
        <v>52</v>
      </c>
      <c r="B31" s="255">
        <v>1</v>
      </c>
      <c r="C31" s="496" t="s">
        <v>53</v>
      </c>
      <c r="D31" s="497"/>
      <c r="E31" s="497"/>
      <c r="F31" s="497"/>
      <c r="G31" s="497"/>
      <c r="H31" s="498"/>
      <c r="I31" s="251"/>
      <c r="J31" s="251"/>
      <c r="K31" s="251"/>
      <c r="L31" s="251"/>
    </row>
    <row r="32" spans="1:14" s="3" customFormat="1" ht="27" customHeight="1" x14ac:dyDescent="0.45">
      <c r="A32" s="248" t="s">
        <v>54</v>
      </c>
      <c r="B32" s="255">
        <v>1</v>
      </c>
      <c r="C32" s="496" t="s">
        <v>55</v>
      </c>
      <c r="D32" s="497"/>
      <c r="E32" s="497"/>
      <c r="F32" s="497"/>
      <c r="G32" s="497"/>
      <c r="H32" s="498"/>
      <c r="I32" s="251"/>
      <c r="J32" s="251"/>
      <c r="K32" s="251"/>
      <c r="L32" s="256"/>
      <c r="M32" s="256"/>
      <c r="N32" s="257"/>
    </row>
    <row r="33" spans="1:14" s="3" customFormat="1" ht="17.25" customHeight="1" x14ac:dyDescent="0.35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" x14ac:dyDescent="0.35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5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5">
      <c r="A36" s="261" t="s">
        <v>58</v>
      </c>
      <c r="B36" s="472">
        <v>25</v>
      </c>
      <c r="C36" s="238"/>
      <c r="D36" s="499" t="s">
        <v>59</v>
      </c>
      <c r="E36" s="522"/>
      <c r="F36" s="499" t="s">
        <v>60</v>
      </c>
      <c r="G36" s="500"/>
      <c r="J36" s="251"/>
      <c r="K36" s="251"/>
      <c r="L36" s="256"/>
      <c r="M36" s="256"/>
      <c r="N36" s="257"/>
    </row>
    <row r="37" spans="1:14" s="3" customFormat="1" ht="27" customHeight="1" x14ac:dyDescent="0.45">
      <c r="A37" s="263" t="s">
        <v>61</v>
      </c>
      <c r="B37" s="473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5">
      <c r="A38" s="263" t="s">
        <v>66</v>
      </c>
      <c r="B38" s="473">
        <v>100</v>
      </c>
      <c r="C38" s="270">
        <v>1</v>
      </c>
      <c r="D38" s="470">
        <v>4968825</v>
      </c>
      <c r="E38" s="271">
        <f>IF(ISBLANK(D38),"-",$D$48/$D$45*D38)</f>
        <v>5049418.7730364343</v>
      </c>
      <c r="F38" s="470">
        <v>5152262</v>
      </c>
      <c r="G38" s="272">
        <f>IF(ISBLANK(F38),"-",$D$48/$F$45*F38)</f>
        <v>4952338.5681721736</v>
      </c>
      <c r="I38" s="273"/>
      <c r="J38" s="251"/>
      <c r="K38" s="251"/>
      <c r="L38" s="256"/>
      <c r="M38" s="256"/>
      <c r="N38" s="257"/>
    </row>
    <row r="39" spans="1:14" s="3" customFormat="1" ht="26.25" customHeight="1" x14ac:dyDescent="0.45">
      <c r="A39" s="263" t="s">
        <v>67</v>
      </c>
      <c r="B39" s="264">
        <v>1</v>
      </c>
      <c r="C39" s="274">
        <v>2</v>
      </c>
      <c r="D39" s="471">
        <v>4762128</v>
      </c>
      <c r="E39" s="276">
        <f>IF(ISBLANK(D39),"-",$D$48/$D$45*D39)</f>
        <v>4839369.1713438183</v>
      </c>
      <c r="F39" s="471">
        <v>5161158</v>
      </c>
      <c r="G39" s="277">
        <f>IF(ISBLANK(F39),"-",$D$48/$F$45*F39)</f>
        <v>4960889.376322547</v>
      </c>
      <c r="I39" s="501">
        <f>ABS((F43/D43*D42)-F42)/D42</f>
        <v>1.8147026828818995E-3</v>
      </c>
      <c r="J39" s="251"/>
      <c r="K39" s="251"/>
      <c r="L39" s="256"/>
      <c r="M39" s="256"/>
      <c r="N39" s="257"/>
    </row>
    <row r="40" spans="1:14" ht="26.25" customHeight="1" x14ac:dyDescent="0.45">
      <c r="A40" s="263" t="s">
        <v>68</v>
      </c>
      <c r="B40" s="264">
        <v>1</v>
      </c>
      <c r="C40" s="274">
        <v>3</v>
      </c>
      <c r="D40" s="471">
        <v>4938283</v>
      </c>
      <c r="E40" s="276">
        <f>IF(ISBLANK(D40),"-",$D$48/$D$45*D40)</f>
        <v>5018381.3852906236</v>
      </c>
      <c r="F40" s="471">
        <v>5168924</v>
      </c>
      <c r="G40" s="277">
        <f>IF(ISBLANK(F40),"-",$D$48/$F$45*F40)</f>
        <v>4968354.0319088548</v>
      </c>
      <c r="I40" s="501"/>
      <c r="L40" s="256"/>
      <c r="M40" s="256"/>
      <c r="N40" s="278"/>
    </row>
    <row r="41" spans="1:14" ht="27" customHeight="1" x14ac:dyDescent="0.45">
      <c r="A41" s="263" t="s">
        <v>69</v>
      </c>
      <c r="B41" s="264">
        <v>1</v>
      </c>
      <c r="C41" s="279">
        <v>4</v>
      </c>
      <c r="D41" s="280"/>
      <c r="E41" s="281" t="str">
        <f>IF(ISBLANK(D41),"-",$D$48/$D$45*D41)</f>
        <v>-</v>
      </c>
      <c r="F41" s="280"/>
      <c r="G41" s="282" t="str">
        <f>IF(ISBLANK(F41),"-",$D$48/$F$45*F41)</f>
        <v>-</v>
      </c>
      <c r="I41" s="283"/>
      <c r="L41" s="256"/>
      <c r="M41" s="256"/>
      <c r="N41" s="278"/>
    </row>
    <row r="42" spans="1:14" ht="27" customHeight="1" x14ac:dyDescent="0.45">
      <c r="A42" s="263" t="s">
        <v>70</v>
      </c>
      <c r="B42" s="264">
        <v>1</v>
      </c>
      <c r="C42" s="284" t="s">
        <v>71</v>
      </c>
      <c r="D42" s="285">
        <f>AVERAGE(D38:D41)</f>
        <v>4889745.333333333</v>
      </c>
      <c r="E42" s="286">
        <f>AVERAGE(E38:E41)</f>
        <v>4969056.4432236254</v>
      </c>
      <c r="F42" s="285">
        <f>AVERAGE(F38:F41)</f>
        <v>5160781.333333333</v>
      </c>
      <c r="G42" s="287">
        <f>AVERAGE(G38:G41)</f>
        <v>4960527.3254678585</v>
      </c>
      <c r="H42" s="288"/>
    </row>
    <row r="43" spans="1:14" ht="26.25" customHeight="1" x14ac:dyDescent="0.45">
      <c r="A43" s="263" t="s">
        <v>72</v>
      </c>
      <c r="B43" s="264">
        <v>1</v>
      </c>
      <c r="C43" s="289" t="s">
        <v>73</v>
      </c>
      <c r="D43" s="290">
        <v>19.739999999999998</v>
      </c>
      <c r="E43" s="278"/>
      <c r="F43" s="290">
        <v>20.87</v>
      </c>
      <c r="H43" s="288"/>
    </row>
    <row r="44" spans="1:14" ht="26.25" customHeight="1" x14ac:dyDescent="0.45">
      <c r="A44" s="263" t="s">
        <v>74</v>
      </c>
      <c r="B44" s="264">
        <v>1</v>
      </c>
      <c r="C44" s="291" t="s">
        <v>75</v>
      </c>
      <c r="D44" s="292">
        <f>D43*$B$34</f>
        <v>19.739999999999998</v>
      </c>
      <c r="E44" s="293"/>
      <c r="F44" s="292">
        <f>F43*$B$34</f>
        <v>20.87</v>
      </c>
      <c r="H44" s="288"/>
    </row>
    <row r="45" spans="1:14" ht="19.5" customHeight="1" x14ac:dyDescent="0.35">
      <c r="A45" s="263" t="s">
        <v>76</v>
      </c>
      <c r="B45" s="294">
        <f>(B44/B43)*(B42/B41)*(B40/B39)*(B38/B37)*B36</f>
        <v>625</v>
      </c>
      <c r="C45" s="291" t="s">
        <v>77</v>
      </c>
      <c r="D45" s="295">
        <f>D44*$B$30/100</f>
        <v>19.680779999999999</v>
      </c>
      <c r="E45" s="296"/>
      <c r="F45" s="295">
        <f>F44*$B$30/100</f>
        <v>20.807390000000002</v>
      </c>
      <c r="H45" s="288"/>
    </row>
    <row r="46" spans="1:14" ht="19.5" customHeight="1" x14ac:dyDescent="0.35">
      <c r="A46" s="487" t="s">
        <v>78</v>
      </c>
      <c r="B46" s="488"/>
      <c r="C46" s="291" t="s">
        <v>79</v>
      </c>
      <c r="D46" s="297">
        <f>D45/$B$45</f>
        <v>3.1489247999999997E-2</v>
      </c>
      <c r="E46" s="298"/>
      <c r="F46" s="299">
        <f>F45/$B$45</f>
        <v>3.3291824000000005E-2</v>
      </c>
      <c r="H46" s="288"/>
    </row>
    <row r="47" spans="1:14" ht="27" customHeight="1" x14ac:dyDescent="0.45">
      <c r="A47" s="489"/>
      <c r="B47" s="490"/>
      <c r="C47" s="300" t="s">
        <v>80</v>
      </c>
      <c r="D47" s="301">
        <v>3.2000000000000001E-2</v>
      </c>
      <c r="E47" s="302"/>
      <c r="F47" s="298"/>
      <c r="H47" s="288"/>
    </row>
    <row r="48" spans="1:14" ht="18" x14ac:dyDescent="0.35">
      <c r="C48" s="303" t="s">
        <v>81</v>
      </c>
      <c r="D48" s="295">
        <f>D47*$B$45</f>
        <v>20</v>
      </c>
      <c r="F48" s="304"/>
      <c r="H48" s="288"/>
    </row>
    <row r="49" spans="1:12" ht="19.5" customHeight="1" x14ac:dyDescent="0.35">
      <c r="C49" s="305" t="s">
        <v>82</v>
      </c>
      <c r="D49" s="306">
        <f>D48/B34</f>
        <v>20</v>
      </c>
      <c r="F49" s="304"/>
      <c r="H49" s="288"/>
    </row>
    <row r="50" spans="1:12" ht="18" x14ac:dyDescent="0.35">
      <c r="C50" s="261" t="s">
        <v>83</v>
      </c>
      <c r="D50" s="307">
        <f>AVERAGE(E38:E41,G38:G41)</f>
        <v>4964791.884345741</v>
      </c>
      <c r="F50" s="308"/>
      <c r="H50" s="288"/>
    </row>
    <row r="51" spans="1:12" ht="18" x14ac:dyDescent="0.35">
      <c r="C51" s="263" t="s">
        <v>84</v>
      </c>
      <c r="D51" s="309">
        <f>STDEV(E38:E41,G38:G41)/D50</f>
        <v>1.4509783019695187E-2</v>
      </c>
      <c r="F51" s="308"/>
      <c r="H51" s="288"/>
    </row>
    <row r="52" spans="1:12" ht="19.5" customHeight="1" x14ac:dyDescent="0.35">
      <c r="C52" s="310" t="s">
        <v>20</v>
      </c>
      <c r="D52" s="311">
        <f>COUNT(E38:E41,G38:G41)</f>
        <v>6</v>
      </c>
      <c r="F52" s="308"/>
    </row>
    <row r="54" spans="1:12" ht="18" x14ac:dyDescent="0.35">
      <c r="A54" s="312" t="s">
        <v>1</v>
      </c>
      <c r="B54" s="313" t="s">
        <v>85</v>
      </c>
    </row>
    <row r="55" spans="1:12" ht="18" x14ac:dyDescent="0.35">
      <c r="A55" s="238" t="s">
        <v>86</v>
      </c>
      <c r="B55" s="314" t="str">
        <f>B21</f>
        <v xml:space="preserve">Each tablet contains: Sulfamethoxazole BP 800 mg and Trimethoprim BP 160 mg.
</v>
      </c>
    </row>
    <row r="56" spans="1:12" ht="26.25" customHeight="1" x14ac:dyDescent="0.45">
      <c r="A56" s="315" t="s">
        <v>87</v>
      </c>
      <c r="B56" s="316">
        <v>160</v>
      </c>
      <c r="C56" s="238" t="str">
        <f>B20</f>
        <v>Sulfamethoxazole &amp; Trimethoprim</v>
      </c>
      <c r="H56" s="317"/>
    </row>
    <row r="57" spans="1:12" ht="18" x14ac:dyDescent="0.35">
      <c r="A57" s="314" t="s">
        <v>88</v>
      </c>
      <c r="B57" s="385">
        <f>Uniformity!C46</f>
        <v>1092.6169999999997</v>
      </c>
      <c r="H57" s="317"/>
    </row>
    <row r="58" spans="1:12" ht="19.5" customHeight="1" x14ac:dyDescent="0.35">
      <c r="H58" s="317"/>
    </row>
    <row r="59" spans="1:12" s="3" customFormat="1" ht="27" customHeight="1" x14ac:dyDescent="0.45">
      <c r="A59" s="261" t="s">
        <v>89</v>
      </c>
      <c r="B59" s="472">
        <v>100</v>
      </c>
      <c r="C59" s="238"/>
      <c r="D59" s="318" t="s">
        <v>90</v>
      </c>
      <c r="E59" s="319" t="s">
        <v>62</v>
      </c>
      <c r="F59" s="319" t="s">
        <v>63</v>
      </c>
      <c r="G59" s="319" t="s">
        <v>91</v>
      </c>
      <c r="H59" s="265" t="s">
        <v>92</v>
      </c>
      <c r="L59" s="251"/>
    </row>
    <row r="60" spans="1:12" s="3" customFormat="1" ht="26.25" customHeight="1" x14ac:dyDescent="0.45">
      <c r="A60" s="263" t="s">
        <v>93</v>
      </c>
      <c r="B60" s="473">
        <v>2</v>
      </c>
      <c r="C60" s="504" t="s">
        <v>94</v>
      </c>
      <c r="D60" s="507">
        <v>1092.1400000000001</v>
      </c>
      <c r="E60" s="320">
        <v>1</v>
      </c>
      <c r="F60" s="321">
        <v>5088239</v>
      </c>
      <c r="G60" s="386">
        <f>IF(ISBLANK(F60),"-",(F60/$D$50*$D$47*$B$68)*($B$57/$D$60))</f>
        <v>164.04994025324274</v>
      </c>
      <c r="H60" s="404">
        <f t="shared" ref="H60:H71" si="0">IF(ISBLANK(F60),"-",(G60/$B$56)*100)</f>
        <v>102.53121265827671</v>
      </c>
      <c r="L60" s="251"/>
    </row>
    <row r="61" spans="1:12" s="3" customFormat="1" ht="26.25" customHeight="1" x14ac:dyDescent="0.45">
      <c r="A61" s="263" t="s">
        <v>95</v>
      </c>
      <c r="B61" s="473">
        <v>100</v>
      </c>
      <c r="C61" s="505"/>
      <c r="D61" s="508"/>
      <c r="E61" s="322">
        <v>2</v>
      </c>
      <c r="F61" s="275">
        <v>5077530</v>
      </c>
      <c r="G61" s="387">
        <f>IF(ISBLANK(F61),"-",(F61/$D$50*$D$47*$B$68)*($B$57/$D$60))</f>
        <v>163.70467132814471</v>
      </c>
      <c r="H61" s="405">
        <f t="shared" si="0"/>
        <v>102.31541958009045</v>
      </c>
      <c r="L61" s="251"/>
    </row>
    <row r="62" spans="1:12" s="3" customFormat="1" ht="26.25" customHeight="1" x14ac:dyDescent="0.45">
      <c r="A62" s="263" t="s">
        <v>96</v>
      </c>
      <c r="B62" s="264">
        <v>1</v>
      </c>
      <c r="C62" s="505"/>
      <c r="D62" s="508"/>
      <c r="E62" s="322">
        <v>3</v>
      </c>
      <c r="F62" s="323">
        <v>5084494</v>
      </c>
      <c r="G62" s="387">
        <f>IF(ISBLANK(F62),"-",(F62/$D$50*$D$47*$B$68)*($B$57/$D$60))</f>
        <v>163.92919768862498</v>
      </c>
      <c r="H62" s="405">
        <f t="shared" si="0"/>
        <v>102.45574855539061</v>
      </c>
      <c r="L62" s="251"/>
    </row>
    <row r="63" spans="1:12" ht="27" customHeight="1" x14ac:dyDescent="0.45">
      <c r="A63" s="263" t="s">
        <v>97</v>
      </c>
      <c r="B63" s="264">
        <v>1</v>
      </c>
      <c r="C63" s="515"/>
      <c r="D63" s="509"/>
      <c r="E63" s="324">
        <v>4</v>
      </c>
      <c r="F63" s="325"/>
      <c r="G63" s="387" t="str">
        <f>IF(ISBLANK(F63),"-",(F63/$D$50*$D$47*$B$68)*($B$57/$D$60))</f>
        <v>-</v>
      </c>
      <c r="H63" s="405" t="str">
        <f t="shared" si="0"/>
        <v>-</v>
      </c>
    </row>
    <row r="64" spans="1:12" ht="26.25" customHeight="1" x14ac:dyDescent="0.45">
      <c r="A64" s="263" t="s">
        <v>98</v>
      </c>
      <c r="B64" s="264">
        <v>1</v>
      </c>
      <c r="C64" s="504" t="s">
        <v>99</v>
      </c>
      <c r="D64" s="507">
        <v>1090.55</v>
      </c>
      <c r="E64" s="320">
        <v>1</v>
      </c>
      <c r="F64" s="321">
        <v>5051159</v>
      </c>
      <c r="G64" s="386">
        <f>IF(ISBLANK(F64),"-",(F64/$D$50*$D$47*$B$68)*($B$57/$D$64))</f>
        <v>163.09188228765316</v>
      </c>
      <c r="H64" s="404">
        <f t="shared" si="0"/>
        <v>101.93242642978322</v>
      </c>
    </row>
    <row r="65" spans="1:8" ht="26.25" customHeight="1" x14ac:dyDescent="0.45">
      <c r="A65" s="263" t="s">
        <v>100</v>
      </c>
      <c r="B65" s="264">
        <v>1</v>
      </c>
      <c r="C65" s="505"/>
      <c r="D65" s="508"/>
      <c r="E65" s="322">
        <v>2</v>
      </c>
      <c r="F65" s="275">
        <v>5063586</v>
      </c>
      <c r="G65" s="387">
        <f>IF(ISBLANK(F65),"-",(F65/$D$50*$D$47*$B$68)*($B$57/$D$64))</f>
        <v>163.49312541248625</v>
      </c>
      <c r="H65" s="405">
        <f t="shared" si="0"/>
        <v>102.18320338280391</v>
      </c>
    </row>
    <row r="66" spans="1:8" ht="26.25" customHeight="1" x14ac:dyDescent="0.45">
      <c r="A66" s="263" t="s">
        <v>101</v>
      </c>
      <c r="B66" s="264">
        <v>1</v>
      </c>
      <c r="C66" s="505"/>
      <c r="D66" s="508"/>
      <c r="E66" s="322">
        <v>3</v>
      </c>
      <c r="F66" s="275">
        <v>5055475</v>
      </c>
      <c r="G66" s="387">
        <f>IF(ISBLANK(F66),"-",(F66/$D$50*$D$47*$B$68)*($B$57/$D$64))</f>
        <v>163.23123734734415</v>
      </c>
      <c r="H66" s="405">
        <f t="shared" si="0"/>
        <v>102.0195233420901</v>
      </c>
    </row>
    <row r="67" spans="1:8" ht="27" customHeight="1" x14ac:dyDescent="0.45">
      <c r="A67" s="263" t="s">
        <v>102</v>
      </c>
      <c r="B67" s="264">
        <v>1</v>
      </c>
      <c r="C67" s="515"/>
      <c r="D67" s="509"/>
      <c r="E67" s="324">
        <v>4</v>
      </c>
      <c r="F67" s="325"/>
      <c r="G67" s="403" t="str">
        <f>IF(ISBLANK(F67),"-",(F67/$D$50*$D$47*$B$68)*($B$57/$D$64))</f>
        <v>-</v>
      </c>
      <c r="H67" s="406" t="str">
        <f t="shared" si="0"/>
        <v>-</v>
      </c>
    </row>
    <row r="68" spans="1:8" ht="26.25" customHeight="1" x14ac:dyDescent="0.5">
      <c r="A68" s="263" t="s">
        <v>103</v>
      </c>
      <c r="B68" s="326">
        <f>(B67/B66)*(B65/B64)*(B63/B62)*(B61/B60)*B59</f>
        <v>5000</v>
      </c>
      <c r="C68" s="504" t="s">
        <v>104</v>
      </c>
      <c r="D68" s="507">
        <v>1092.58</v>
      </c>
      <c r="E68" s="320">
        <v>1</v>
      </c>
      <c r="F68" s="321">
        <v>5041509</v>
      </c>
      <c r="G68" s="386">
        <f>IF(ISBLANK(F68),"-",(F68/$D$50*$D$47*$B$68)*($B$57/$D$68))</f>
        <v>162.47785920134075</v>
      </c>
      <c r="H68" s="405">
        <f t="shared" si="0"/>
        <v>101.54866200083796</v>
      </c>
    </row>
    <row r="69" spans="1:8" ht="27" customHeight="1" x14ac:dyDescent="0.5">
      <c r="A69" s="310" t="s">
        <v>105</v>
      </c>
      <c r="B69" s="327">
        <f>(D47*B68)/B56*B57</f>
        <v>1092.6169999999997</v>
      </c>
      <c r="C69" s="505"/>
      <c r="D69" s="508"/>
      <c r="E69" s="322">
        <v>2</v>
      </c>
      <c r="F69" s="275">
        <v>5049991</v>
      </c>
      <c r="G69" s="387">
        <f>IF(ISBLANK(F69),"-",(F69/$D$50*$D$47*$B$68)*($B$57/$D$68))</f>
        <v>162.75121727761231</v>
      </c>
      <c r="H69" s="405">
        <f t="shared" si="0"/>
        <v>101.7195107985077</v>
      </c>
    </row>
    <row r="70" spans="1:8" ht="26.25" customHeight="1" x14ac:dyDescent="0.45">
      <c r="A70" s="510" t="s">
        <v>78</v>
      </c>
      <c r="B70" s="511"/>
      <c r="C70" s="505"/>
      <c r="D70" s="508"/>
      <c r="E70" s="322">
        <v>3</v>
      </c>
      <c r="F70" s="275">
        <v>5045196</v>
      </c>
      <c r="G70" s="387">
        <f>IF(ISBLANK(F70),"-",(F70/$D$50*$D$47*$B$68)*($B$57/$D$68))</f>
        <v>162.59668391570213</v>
      </c>
      <c r="H70" s="405">
        <f t="shared" si="0"/>
        <v>101.62292744731383</v>
      </c>
    </row>
    <row r="71" spans="1:8" ht="27" customHeight="1" x14ac:dyDescent="0.45">
      <c r="A71" s="512"/>
      <c r="B71" s="513"/>
      <c r="C71" s="506"/>
      <c r="D71" s="509"/>
      <c r="E71" s="324">
        <v>4</v>
      </c>
      <c r="F71" s="325"/>
      <c r="G71" s="403" t="str">
        <f>IF(ISBLANK(F71),"-",(F71/$D$50*$D$47*$B$68)*($B$57/$D$68))</f>
        <v>-</v>
      </c>
      <c r="H71" s="406" t="str">
        <f t="shared" si="0"/>
        <v>-</v>
      </c>
    </row>
    <row r="72" spans="1:8" ht="26.25" customHeight="1" x14ac:dyDescent="0.45">
      <c r="A72" s="328"/>
      <c r="B72" s="328"/>
      <c r="C72" s="328"/>
      <c r="D72" s="328"/>
      <c r="E72" s="328"/>
      <c r="F72" s="330" t="s">
        <v>71</v>
      </c>
      <c r="G72" s="392">
        <f>AVERAGE(G60:G71)</f>
        <v>163.25842385690572</v>
      </c>
      <c r="H72" s="407">
        <f>AVERAGE(H60:H71)</f>
        <v>102.03651491056605</v>
      </c>
    </row>
    <row r="73" spans="1:8" ht="26.25" customHeight="1" x14ac:dyDescent="0.45">
      <c r="C73" s="328"/>
      <c r="D73" s="328"/>
      <c r="E73" s="328"/>
      <c r="F73" s="331" t="s">
        <v>84</v>
      </c>
      <c r="G73" s="391">
        <f>STDEV(G60:G71)/G72</f>
        <v>3.5343668766182543E-3</v>
      </c>
      <c r="H73" s="391">
        <f>STDEV(H60:H71)/H72</f>
        <v>3.5343668766182751E-3</v>
      </c>
    </row>
    <row r="74" spans="1:8" ht="27" customHeight="1" x14ac:dyDescent="0.45">
      <c r="A74" s="328"/>
      <c r="B74" s="328"/>
      <c r="C74" s="329"/>
      <c r="D74" s="329"/>
      <c r="E74" s="332"/>
      <c r="F74" s="333" t="s">
        <v>20</v>
      </c>
      <c r="G74" s="334">
        <f>COUNT(G60:G71)</f>
        <v>9</v>
      </c>
      <c r="H74" s="334">
        <f>COUNT(H60:H71)</f>
        <v>9</v>
      </c>
    </row>
    <row r="76" spans="1:8" ht="26.25" customHeight="1" x14ac:dyDescent="0.45">
      <c r="A76" s="247" t="s">
        <v>106</v>
      </c>
      <c r="B76" s="335" t="s">
        <v>107</v>
      </c>
      <c r="C76" s="491" t="str">
        <f>B26</f>
        <v>TRIMETHOPRIM</v>
      </c>
      <c r="D76" s="491"/>
      <c r="E76" s="336" t="s">
        <v>108</v>
      </c>
      <c r="F76" s="336"/>
      <c r="G76" s="423">
        <f>H72</f>
        <v>102.03651491056605</v>
      </c>
      <c r="H76" s="338"/>
    </row>
    <row r="77" spans="1:8" ht="18" x14ac:dyDescent="0.35">
      <c r="A77" s="246" t="s">
        <v>109</v>
      </c>
      <c r="B77" s="246" t="s">
        <v>110</v>
      </c>
    </row>
    <row r="78" spans="1:8" ht="18" x14ac:dyDescent="0.35">
      <c r="A78" s="246"/>
      <c r="B78" s="246"/>
    </row>
    <row r="79" spans="1:8" ht="26.25" customHeight="1" x14ac:dyDescent="0.45">
      <c r="A79" s="247" t="s">
        <v>4</v>
      </c>
      <c r="B79" s="523" t="str">
        <f>B26</f>
        <v>TRIMETHOPRIM</v>
      </c>
      <c r="C79" s="523"/>
    </row>
    <row r="80" spans="1:8" ht="26.25" customHeight="1" x14ac:dyDescent="0.45">
      <c r="A80" s="248" t="s">
        <v>48</v>
      </c>
      <c r="B80" s="523" t="s">
        <v>141</v>
      </c>
      <c r="C80" s="523"/>
    </row>
    <row r="81" spans="1:12" ht="27" customHeight="1" x14ac:dyDescent="0.45">
      <c r="A81" s="248" t="s">
        <v>6</v>
      </c>
      <c r="B81" s="339">
        <v>99.7</v>
      </c>
    </row>
    <row r="82" spans="1:12" s="3" customFormat="1" ht="27" customHeight="1" x14ac:dyDescent="0.5">
      <c r="A82" s="248" t="s">
        <v>49</v>
      </c>
      <c r="B82" s="250">
        <v>0</v>
      </c>
      <c r="C82" s="493" t="s">
        <v>50</v>
      </c>
      <c r="D82" s="494"/>
      <c r="E82" s="494"/>
      <c r="F82" s="494"/>
      <c r="G82" s="495"/>
      <c r="I82" s="251"/>
      <c r="J82" s="251"/>
      <c r="K82" s="251"/>
      <c r="L82" s="251"/>
    </row>
    <row r="83" spans="1:12" s="3" customFormat="1" ht="19.5" customHeight="1" x14ac:dyDescent="0.35">
      <c r="A83" s="248" t="s">
        <v>51</v>
      </c>
      <c r="B83" s="252">
        <f>B81-B82</f>
        <v>99.7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5">
      <c r="A84" s="248" t="s">
        <v>52</v>
      </c>
      <c r="B84" s="255">
        <v>1</v>
      </c>
      <c r="C84" s="496" t="s">
        <v>111</v>
      </c>
      <c r="D84" s="497"/>
      <c r="E84" s="497"/>
      <c r="F84" s="497"/>
      <c r="G84" s="497"/>
      <c r="H84" s="498"/>
      <c r="I84" s="251"/>
      <c r="J84" s="251"/>
      <c r="K84" s="251"/>
      <c r="L84" s="251"/>
    </row>
    <row r="85" spans="1:12" s="3" customFormat="1" ht="27" customHeight="1" x14ac:dyDescent="0.45">
      <c r="A85" s="248" t="s">
        <v>54</v>
      </c>
      <c r="B85" s="255">
        <v>1</v>
      </c>
      <c r="C85" s="496" t="s">
        <v>112</v>
      </c>
      <c r="D85" s="497"/>
      <c r="E85" s="497"/>
      <c r="F85" s="497"/>
      <c r="G85" s="497"/>
      <c r="H85" s="498"/>
      <c r="I85" s="251"/>
      <c r="J85" s="251"/>
      <c r="K85" s="251"/>
      <c r="L85" s="251"/>
    </row>
    <row r="86" spans="1:12" s="3" customFormat="1" ht="18" x14ac:dyDescent="0.35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" x14ac:dyDescent="0.35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5">
      <c r="A88" s="246"/>
      <c r="B88" s="246"/>
    </row>
    <row r="89" spans="1:12" ht="27" customHeight="1" x14ac:dyDescent="0.45">
      <c r="A89" s="261" t="s">
        <v>58</v>
      </c>
      <c r="B89" s="262">
        <v>25</v>
      </c>
      <c r="D89" s="340" t="s">
        <v>59</v>
      </c>
      <c r="E89" s="341"/>
      <c r="F89" s="499" t="s">
        <v>60</v>
      </c>
      <c r="G89" s="500"/>
    </row>
    <row r="90" spans="1:12" ht="27" customHeight="1" x14ac:dyDescent="0.45">
      <c r="A90" s="263" t="s">
        <v>61</v>
      </c>
      <c r="B90" s="264">
        <v>4</v>
      </c>
      <c r="C90" s="342" t="s">
        <v>62</v>
      </c>
      <c r="D90" s="266" t="s">
        <v>63</v>
      </c>
      <c r="E90" s="267" t="s">
        <v>64</v>
      </c>
      <c r="F90" s="266" t="s">
        <v>63</v>
      </c>
      <c r="G90" s="343" t="s">
        <v>64</v>
      </c>
      <c r="I90" s="269" t="s">
        <v>65</v>
      </c>
    </row>
    <row r="91" spans="1:12" ht="26.25" customHeight="1" x14ac:dyDescent="0.45">
      <c r="A91" s="263" t="s">
        <v>66</v>
      </c>
      <c r="B91" s="264">
        <v>100</v>
      </c>
      <c r="C91" s="344">
        <v>1</v>
      </c>
      <c r="D91" s="470">
        <v>4968825</v>
      </c>
      <c r="E91" s="271">
        <f>IF(ISBLANK(D91),"-",$D$101/$D$98*D91)</f>
        <v>5610465.3033738164</v>
      </c>
      <c r="F91" s="470">
        <v>5152262</v>
      </c>
      <c r="G91" s="272">
        <f>IF(ISBLANK(F91),"-",$D$101/$F$98*F91)</f>
        <v>5502598.4090801915</v>
      </c>
      <c r="I91" s="273"/>
    </row>
    <row r="92" spans="1:12" ht="26.25" customHeight="1" x14ac:dyDescent="0.45">
      <c r="A92" s="263" t="s">
        <v>67</v>
      </c>
      <c r="B92" s="264">
        <v>1</v>
      </c>
      <c r="C92" s="329">
        <v>2</v>
      </c>
      <c r="D92" s="471">
        <v>4762128</v>
      </c>
      <c r="E92" s="276">
        <f>IF(ISBLANK(D92),"-",$D$101/$D$98*D92)</f>
        <v>5377076.8570486875</v>
      </c>
      <c r="F92" s="471">
        <v>5161158</v>
      </c>
      <c r="G92" s="277">
        <f>IF(ISBLANK(F92),"-",$D$101/$F$98*F92)</f>
        <v>5512099.3070250517</v>
      </c>
      <c r="I92" s="501">
        <f>ABS((F96/D96*D95)-F95)/D95</f>
        <v>1.8147026828818995E-3</v>
      </c>
    </row>
    <row r="93" spans="1:12" ht="26.25" customHeight="1" x14ac:dyDescent="0.45">
      <c r="A93" s="263" t="s">
        <v>68</v>
      </c>
      <c r="B93" s="264">
        <v>1</v>
      </c>
      <c r="C93" s="329">
        <v>3</v>
      </c>
      <c r="D93" s="471">
        <v>4938283</v>
      </c>
      <c r="E93" s="276">
        <f>IF(ISBLANK(D93),"-",$D$101/$D$98*D93)</f>
        <v>5575979.316989582</v>
      </c>
      <c r="F93" s="471">
        <v>5168924</v>
      </c>
      <c r="G93" s="277">
        <f>IF(ISBLANK(F93),"-",$D$101/$F$98*F93)</f>
        <v>5520393.3687876165</v>
      </c>
      <c r="I93" s="501"/>
    </row>
    <row r="94" spans="1:12" ht="27" customHeight="1" x14ac:dyDescent="0.45">
      <c r="A94" s="263" t="s">
        <v>69</v>
      </c>
      <c r="B94" s="264">
        <v>1</v>
      </c>
      <c r="C94" s="345">
        <v>4</v>
      </c>
      <c r="D94" s="280"/>
      <c r="E94" s="281" t="str">
        <f>IF(ISBLANK(D94),"-",$D$101/$D$98*D94)</f>
        <v>-</v>
      </c>
      <c r="F94" s="346"/>
      <c r="G94" s="282" t="str">
        <f>IF(ISBLANK(F94),"-",$D$101/$F$98*F94)</f>
        <v>-</v>
      </c>
      <c r="I94" s="283"/>
    </row>
    <row r="95" spans="1:12" ht="27" customHeight="1" x14ac:dyDescent="0.45">
      <c r="A95" s="263" t="s">
        <v>70</v>
      </c>
      <c r="B95" s="264">
        <v>1</v>
      </c>
      <c r="C95" s="347" t="s">
        <v>71</v>
      </c>
      <c r="D95" s="348">
        <f>AVERAGE(D91:D94)</f>
        <v>4889745.333333333</v>
      </c>
      <c r="E95" s="286">
        <f>AVERAGE(E91:E94)</f>
        <v>5521173.8258040287</v>
      </c>
      <c r="F95" s="349">
        <f>AVERAGE(F91:F94)</f>
        <v>5160781.333333333</v>
      </c>
      <c r="G95" s="350">
        <f>AVERAGE(G91:G94)</f>
        <v>5511697.0282976199</v>
      </c>
    </row>
    <row r="96" spans="1:12" ht="26.25" customHeight="1" x14ac:dyDescent="0.45">
      <c r="A96" s="263" t="s">
        <v>72</v>
      </c>
      <c r="B96" s="249">
        <v>1</v>
      </c>
      <c r="C96" s="351" t="s">
        <v>113</v>
      </c>
      <c r="D96" s="352">
        <v>19.739999999999998</v>
      </c>
      <c r="E96" s="278"/>
      <c r="F96" s="290">
        <v>20.87</v>
      </c>
    </row>
    <row r="97" spans="1:10" ht="26.25" customHeight="1" x14ac:dyDescent="0.45">
      <c r="A97" s="263" t="s">
        <v>74</v>
      </c>
      <c r="B97" s="249">
        <v>1</v>
      </c>
      <c r="C97" s="353" t="s">
        <v>114</v>
      </c>
      <c r="D97" s="354">
        <f>D96*$B$87</f>
        <v>19.739999999999998</v>
      </c>
      <c r="E97" s="293"/>
      <c r="F97" s="292">
        <f>F96*$B$87</f>
        <v>20.87</v>
      </c>
    </row>
    <row r="98" spans="1:10" ht="19.5" customHeight="1" x14ac:dyDescent="0.35">
      <c r="A98" s="263" t="s">
        <v>76</v>
      </c>
      <c r="B98" s="355">
        <f>(B97/B96)*(B95/B94)*(B93/B92)*(B91/B90)*B89</f>
        <v>625</v>
      </c>
      <c r="C98" s="353" t="s">
        <v>115</v>
      </c>
      <c r="D98" s="356">
        <f>D97*$B$83/100</f>
        <v>19.680779999999999</v>
      </c>
      <c r="E98" s="296"/>
      <c r="F98" s="295">
        <f>F97*$B$83/100</f>
        <v>20.807390000000002</v>
      </c>
    </row>
    <row r="99" spans="1:10" ht="19.5" customHeight="1" x14ac:dyDescent="0.35">
      <c r="A99" s="487" t="s">
        <v>78</v>
      </c>
      <c r="B99" s="502"/>
      <c r="C99" s="353" t="s">
        <v>116</v>
      </c>
      <c r="D99" s="357">
        <f>D98/$B$98</f>
        <v>3.1489247999999997E-2</v>
      </c>
      <c r="E99" s="296"/>
      <c r="F99" s="299">
        <f>F98/$B$98</f>
        <v>3.3291824000000005E-2</v>
      </c>
      <c r="G99" s="358"/>
      <c r="H99" s="288"/>
    </row>
    <row r="100" spans="1:10" ht="19.5" customHeight="1" x14ac:dyDescent="0.35">
      <c r="A100" s="489"/>
      <c r="B100" s="503"/>
      <c r="C100" s="353" t="s">
        <v>80</v>
      </c>
      <c r="D100" s="359">
        <f>$B$56/$B$116</f>
        <v>3.5555555555555556E-2</v>
      </c>
      <c r="F100" s="304"/>
      <c r="G100" s="360"/>
      <c r="H100" s="288"/>
    </row>
    <row r="101" spans="1:10" ht="18" x14ac:dyDescent="0.35">
      <c r="C101" s="353" t="s">
        <v>81</v>
      </c>
      <c r="D101" s="354">
        <f>D100*$B$98</f>
        <v>22.222222222222221</v>
      </c>
      <c r="F101" s="304"/>
      <c r="G101" s="358"/>
      <c r="H101" s="288"/>
    </row>
    <row r="102" spans="1:10" ht="19.5" customHeight="1" x14ac:dyDescent="0.35">
      <c r="C102" s="361" t="s">
        <v>82</v>
      </c>
      <c r="D102" s="362">
        <f>D101/B34</f>
        <v>22.222222222222221</v>
      </c>
      <c r="F102" s="308"/>
      <c r="G102" s="358"/>
      <c r="H102" s="288"/>
      <c r="J102" s="363"/>
    </row>
    <row r="103" spans="1:10" ht="18" x14ac:dyDescent="0.35">
      <c r="C103" s="364" t="s">
        <v>117</v>
      </c>
      <c r="D103" s="365">
        <f>AVERAGE(E91:E94,G91:G94)</f>
        <v>5516435.4270508243</v>
      </c>
      <c r="F103" s="308"/>
      <c r="G103" s="366"/>
      <c r="H103" s="288"/>
      <c r="J103" s="367"/>
    </row>
    <row r="104" spans="1:10" ht="18" x14ac:dyDescent="0.35">
      <c r="C104" s="331" t="s">
        <v>84</v>
      </c>
      <c r="D104" s="368">
        <f>STDEV(E91:E94,G91:G94)/D103</f>
        <v>1.4509783019695187E-2</v>
      </c>
      <c r="F104" s="308"/>
      <c r="G104" s="358"/>
      <c r="H104" s="288"/>
      <c r="J104" s="367"/>
    </row>
    <row r="105" spans="1:10" ht="19.5" customHeight="1" x14ac:dyDescent="0.35">
      <c r="C105" s="333" t="s">
        <v>20</v>
      </c>
      <c r="D105" s="369">
        <f>COUNT(E91:E94,G91:G94)</f>
        <v>6</v>
      </c>
      <c r="F105" s="308"/>
      <c r="G105" s="358"/>
      <c r="H105" s="288"/>
      <c r="J105" s="367"/>
    </row>
    <row r="106" spans="1:10" ht="19.5" customHeight="1" x14ac:dyDescent="0.35">
      <c r="A106" s="312"/>
      <c r="B106" s="312"/>
      <c r="C106" s="312"/>
      <c r="D106" s="312"/>
      <c r="E106" s="312"/>
    </row>
    <row r="107" spans="1:10" ht="27" customHeight="1" x14ac:dyDescent="0.45">
      <c r="A107" s="261" t="s">
        <v>118</v>
      </c>
      <c r="B107" s="262">
        <v>900</v>
      </c>
      <c r="C107" s="408" t="s">
        <v>119</v>
      </c>
      <c r="D107" s="408" t="s">
        <v>63</v>
      </c>
      <c r="E107" s="408" t="s">
        <v>120</v>
      </c>
      <c r="F107" s="370" t="s">
        <v>121</v>
      </c>
    </row>
    <row r="108" spans="1:10" ht="26.25" customHeight="1" x14ac:dyDescent="0.45">
      <c r="A108" s="263" t="s">
        <v>122</v>
      </c>
      <c r="B108" s="264">
        <v>10</v>
      </c>
      <c r="C108" s="413">
        <v>1</v>
      </c>
      <c r="D108" s="414">
        <v>5626416</v>
      </c>
      <c r="E108" s="388">
        <f t="shared" ref="E108:E113" si="1">IF(ISBLANK(D108),"-",D108/$D$103*$D$100*$B$116)</f>
        <v>163.18990259281901</v>
      </c>
      <c r="F108" s="415">
        <f t="shared" ref="F108:F113" si="2">IF(ISBLANK(D108), "-", (E108/$B$56)*100)</f>
        <v>101.99368912051187</v>
      </c>
    </row>
    <row r="109" spans="1:10" ht="26.25" customHeight="1" x14ac:dyDescent="0.45">
      <c r="A109" s="263" t="s">
        <v>95</v>
      </c>
      <c r="B109" s="264">
        <v>50</v>
      </c>
      <c r="C109" s="409">
        <v>2</v>
      </c>
      <c r="D109" s="411">
        <v>5541229</v>
      </c>
      <c r="E109" s="389">
        <f t="shared" si="1"/>
        <v>160.71911866355134</v>
      </c>
      <c r="F109" s="416">
        <f t="shared" si="2"/>
        <v>100.44944916471958</v>
      </c>
    </row>
    <row r="110" spans="1:10" ht="26.25" customHeight="1" x14ac:dyDescent="0.45">
      <c r="A110" s="263" t="s">
        <v>96</v>
      </c>
      <c r="B110" s="264">
        <v>1</v>
      </c>
      <c r="C110" s="409">
        <v>3</v>
      </c>
      <c r="D110" s="411">
        <v>5540408</v>
      </c>
      <c r="E110" s="389">
        <f t="shared" si="1"/>
        <v>160.69530618505192</v>
      </c>
      <c r="F110" s="416">
        <f t="shared" si="2"/>
        <v>100.43456636565745</v>
      </c>
    </row>
    <row r="111" spans="1:10" ht="26.25" customHeight="1" x14ac:dyDescent="0.45">
      <c r="A111" s="263" t="s">
        <v>97</v>
      </c>
      <c r="B111" s="264">
        <v>1</v>
      </c>
      <c r="C111" s="409">
        <v>4</v>
      </c>
      <c r="D111" s="411">
        <v>5466742</v>
      </c>
      <c r="E111" s="389">
        <f t="shared" si="1"/>
        <v>158.5586800691724</v>
      </c>
      <c r="F111" s="416">
        <f t="shared" si="2"/>
        <v>99.099175043232748</v>
      </c>
    </row>
    <row r="112" spans="1:10" ht="26.25" customHeight="1" x14ac:dyDescent="0.45">
      <c r="A112" s="263" t="s">
        <v>98</v>
      </c>
      <c r="B112" s="264">
        <v>1</v>
      </c>
      <c r="C112" s="409">
        <v>5</v>
      </c>
      <c r="D112" s="411">
        <v>5509029</v>
      </c>
      <c r="E112" s="389">
        <f t="shared" si="1"/>
        <v>159.78518223519467</v>
      </c>
      <c r="F112" s="416">
        <f t="shared" si="2"/>
        <v>99.865738896996675</v>
      </c>
    </row>
    <row r="113" spans="1:10" ht="27" customHeight="1" x14ac:dyDescent="0.45">
      <c r="A113" s="263" t="s">
        <v>100</v>
      </c>
      <c r="B113" s="264">
        <v>1</v>
      </c>
      <c r="C113" s="410">
        <v>6</v>
      </c>
      <c r="D113" s="412">
        <v>5544665</v>
      </c>
      <c r="E113" s="390">
        <f t="shared" si="1"/>
        <v>160.81877722155861</v>
      </c>
      <c r="F113" s="417">
        <f t="shared" si="2"/>
        <v>100.51173576347412</v>
      </c>
    </row>
    <row r="114" spans="1:10" ht="27" customHeight="1" x14ac:dyDescent="0.45">
      <c r="A114" s="263" t="s">
        <v>101</v>
      </c>
      <c r="B114" s="264">
        <v>1</v>
      </c>
      <c r="C114" s="371"/>
      <c r="D114" s="329"/>
      <c r="E114" s="237"/>
      <c r="F114" s="418"/>
    </row>
    <row r="115" spans="1:10" ht="26.25" customHeight="1" x14ac:dyDescent="0.45">
      <c r="A115" s="263" t="s">
        <v>102</v>
      </c>
      <c r="B115" s="264">
        <v>1</v>
      </c>
      <c r="C115" s="371"/>
      <c r="D115" s="395" t="s">
        <v>71</v>
      </c>
      <c r="E115" s="397">
        <f>AVERAGE(E108:E113)</f>
        <v>160.62782782789131</v>
      </c>
      <c r="F115" s="419">
        <f>AVERAGE(F108:F113)</f>
        <v>100.39239239243209</v>
      </c>
    </row>
    <row r="116" spans="1:10" ht="27" customHeight="1" x14ac:dyDescent="0.45">
      <c r="A116" s="263" t="s">
        <v>103</v>
      </c>
      <c r="B116" s="294">
        <f>(B115/B114)*(B113/B112)*(B111/B110)*(B109/B108)*B107</f>
        <v>4500</v>
      </c>
      <c r="C116" s="372"/>
      <c r="D116" s="396" t="s">
        <v>84</v>
      </c>
      <c r="E116" s="394">
        <f>STDEV(E108:E113)/E115</f>
        <v>9.4845512323242179E-3</v>
      </c>
      <c r="F116" s="373">
        <f>STDEV(F108:F113)/F115</f>
        <v>9.4845512323241832E-3</v>
      </c>
      <c r="I116" s="237"/>
    </row>
    <row r="117" spans="1:10" ht="27" customHeight="1" x14ac:dyDescent="0.45">
      <c r="A117" s="487" t="s">
        <v>78</v>
      </c>
      <c r="B117" s="488"/>
      <c r="C117" s="374"/>
      <c r="D117" s="333" t="s">
        <v>20</v>
      </c>
      <c r="E117" s="399">
        <f>COUNT(E108:E113)</f>
        <v>6</v>
      </c>
      <c r="F117" s="400">
        <f>COUNT(F108:F113)</f>
        <v>6</v>
      </c>
      <c r="I117" s="237"/>
      <c r="J117" s="367"/>
    </row>
    <row r="118" spans="1:10" ht="26.25" customHeight="1" x14ac:dyDescent="0.35">
      <c r="A118" s="489"/>
      <c r="B118" s="490"/>
      <c r="C118" s="237"/>
      <c r="D118" s="398"/>
      <c r="E118" s="524" t="s">
        <v>123</v>
      </c>
      <c r="F118" s="525"/>
      <c r="G118" s="237"/>
      <c r="H118" s="237"/>
      <c r="I118" s="237"/>
    </row>
    <row r="119" spans="1:10" ht="25.5" customHeight="1" x14ac:dyDescent="0.45">
      <c r="A119" s="383"/>
      <c r="B119" s="259"/>
      <c r="C119" s="237"/>
      <c r="D119" s="396" t="s">
        <v>124</v>
      </c>
      <c r="E119" s="401">
        <f>MIN(E108:E113)</f>
        <v>158.5586800691724</v>
      </c>
      <c r="F119" s="420">
        <f>MIN(F108:F113)</f>
        <v>99.099175043232748</v>
      </c>
      <c r="G119" s="237"/>
      <c r="H119" s="237"/>
      <c r="I119" s="237"/>
    </row>
    <row r="120" spans="1:10" ht="24" customHeight="1" x14ac:dyDescent="0.45">
      <c r="A120" s="383"/>
      <c r="B120" s="259"/>
      <c r="C120" s="237"/>
      <c r="D120" s="305" t="s">
        <v>125</v>
      </c>
      <c r="E120" s="402">
        <f>MAX(E108:E113)</f>
        <v>163.18990259281901</v>
      </c>
      <c r="F120" s="421">
        <f>MAX(F108:F113)</f>
        <v>101.99368912051187</v>
      </c>
      <c r="G120" s="237"/>
      <c r="H120" s="237"/>
      <c r="I120" s="237"/>
    </row>
    <row r="121" spans="1:10" ht="27" customHeight="1" x14ac:dyDescent="0.35">
      <c r="A121" s="383"/>
      <c r="B121" s="259"/>
      <c r="C121" s="237"/>
      <c r="D121" s="237"/>
      <c r="E121" s="237"/>
      <c r="F121" s="329"/>
      <c r="G121" s="237"/>
      <c r="H121" s="237"/>
      <c r="I121" s="237"/>
    </row>
    <row r="122" spans="1:10" ht="25.5" customHeight="1" x14ac:dyDescent="0.35">
      <c r="A122" s="383"/>
      <c r="B122" s="259"/>
      <c r="C122" s="237"/>
      <c r="D122" s="237"/>
      <c r="E122" s="237"/>
      <c r="F122" s="329"/>
      <c r="G122" s="237"/>
      <c r="H122" s="237"/>
      <c r="I122" s="237"/>
    </row>
    <row r="123" spans="1:10" ht="18" x14ac:dyDescent="0.35">
      <c r="A123" s="383"/>
      <c r="B123" s="259"/>
      <c r="C123" s="237"/>
      <c r="D123" s="237"/>
      <c r="E123" s="237"/>
      <c r="F123" s="329"/>
      <c r="G123" s="237"/>
      <c r="H123" s="237"/>
      <c r="I123" s="237"/>
    </row>
    <row r="124" spans="1:10" ht="45.75" customHeight="1" x14ac:dyDescent="0.85">
      <c r="A124" s="247" t="s">
        <v>106</v>
      </c>
      <c r="B124" s="335" t="s">
        <v>126</v>
      </c>
      <c r="C124" s="491" t="str">
        <f>B26</f>
        <v>TRIMETHOPRIM</v>
      </c>
      <c r="D124" s="491"/>
      <c r="E124" s="336" t="s">
        <v>127</v>
      </c>
      <c r="F124" s="336"/>
      <c r="G124" s="422">
        <f>F115</f>
        <v>100.39239239243209</v>
      </c>
      <c r="H124" s="237"/>
      <c r="I124" s="237"/>
    </row>
    <row r="125" spans="1:10" ht="45.75" customHeight="1" x14ac:dyDescent="0.85">
      <c r="A125" s="247"/>
      <c r="B125" s="335" t="s">
        <v>128</v>
      </c>
      <c r="C125" s="248" t="s">
        <v>129</v>
      </c>
      <c r="D125" s="422">
        <f>MIN(F108:F113)</f>
        <v>99.099175043232748</v>
      </c>
      <c r="E125" s="347" t="s">
        <v>130</v>
      </c>
      <c r="F125" s="422">
        <f>MAX(F108:F113)</f>
        <v>101.99368912051187</v>
      </c>
      <c r="G125" s="337"/>
      <c r="H125" s="237"/>
      <c r="I125" s="237"/>
    </row>
    <row r="126" spans="1:10" ht="19.5" customHeight="1" x14ac:dyDescent="0.35">
      <c r="A126" s="375"/>
      <c r="B126" s="375"/>
      <c r="C126" s="376"/>
      <c r="D126" s="376"/>
      <c r="E126" s="376"/>
      <c r="F126" s="376"/>
      <c r="G126" s="376"/>
      <c r="H126" s="376"/>
    </row>
    <row r="127" spans="1:10" ht="18" x14ac:dyDescent="0.35">
      <c r="B127" s="492" t="s">
        <v>26</v>
      </c>
      <c r="C127" s="492"/>
      <c r="E127" s="342" t="s">
        <v>27</v>
      </c>
      <c r="F127" s="377"/>
      <c r="G127" s="492" t="s">
        <v>28</v>
      </c>
      <c r="H127" s="492"/>
    </row>
    <row r="128" spans="1:10" ht="69.900000000000006" customHeight="1" x14ac:dyDescent="0.35">
      <c r="A128" s="378" t="s">
        <v>29</v>
      </c>
      <c r="B128" s="379"/>
      <c r="C128" s="379"/>
      <c r="E128" s="379"/>
      <c r="F128" s="237"/>
      <c r="G128" s="380"/>
      <c r="H128" s="380"/>
    </row>
    <row r="129" spans="1:9" ht="69.900000000000006" customHeight="1" x14ac:dyDescent="0.35">
      <c r="A129" s="378" t="s">
        <v>30</v>
      </c>
      <c r="B129" s="381"/>
      <c r="C129" s="381"/>
      <c r="E129" s="381"/>
      <c r="F129" s="237"/>
      <c r="G129" s="382"/>
      <c r="H129" s="382"/>
    </row>
    <row r="130" spans="1:9" ht="18" x14ac:dyDescent="0.35">
      <c r="A130" s="328"/>
      <c r="B130" s="328"/>
      <c r="C130" s="329"/>
      <c r="D130" s="329"/>
      <c r="E130" s="329"/>
      <c r="F130" s="332"/>
      <c r="G130" s="329"/>
      <c r="H130" s="329"/>
      <c r="I130" s="237"/>
    </row>
    <row r="131" spans="1:9" ht="18" x14ac:dyDescent="0.35">
      <c r="A131" s="328"/>
      <c r="B131" s="328"/>
      <c r="C131" s="329"/>
      <c r="D131" s="329"/>
      <c r="E131" s="329"/>
      <c r="F131" s="332"/>
      <c r="G131" s="329"/>
      <c r="H131" s="329"/>
      <c r="I131" s="237"/>
    </row>
    <row r="132" spans="1:9" ht="18" x14ac:dyDescent="0.35">
      <c r="A132" s="328"/>
      <c r="B132" s="328"/>
      <c r="C132" s="329"/>
      <c r="D132" s="329"/>
      <c r="E132" s="329"/>
      <c r="F132" s="332"/>
      <c r="G132" s="329"/>
      <c r="H132" s="329"/>
      <c r="I132" s="237"/>
    </row>
    <row r="133" spans="1:9" ht="18" x14ac:dyDescent="0.35">
      <c r="A133" s="328"/>
      <c r="B133" s="328"/>
      <c r="C133" s="329"/>
      <c r="D133" s="329"/>
      <c r="E133" s="329"/>
      <c r="F133" s="332"/>
      <c r="G133" s="329"/>
      <c r="H133" s="329"/>
      <c r="I133" s="237"/>
    </row>
    <row r="134" spans="1:9" ht="18" x14ac:dyDescent="0.35">
      <c r="A134" s="328"/>
      <c r="B134" s="328"/>
      <c r="C134" s="329"/>
      <c r="D134" s="329"/>
      <c r="E134" s="329"/>
      <c r="F134" s="332"/>
      <c r="G134" s="329"/>
      <c r="H134" s="329"/>
      <c r="I134" s="237"/>
    </row>
    <row r="135" spans="1:9" ht="18" x14ac:dyDescent="0.35">
      <c r="A135" s="328"/>
      <c r="B135" s="328"/>
      <c r="C135" s="329"/>
      <c r="D135" s="329"/>
      <c r="E135" s="329"/>
      <c r="F135" s="332"/>
      <c r="G135" s="329"/>
      <c r="H135" s="329"/>
      <c r="I135" s="237"/>
    </row>
    <row r="136" spans="1:9" ht="18" x14ac:dyDescent="0.35">
      <c r="A136" s="328"/>
      <c r="B136" s="328"/>
      <c r="C136" s="329"/>
      <c r="D136" s="329"/>
      <c r="E136" s="329"/>
      <c r="F136" s="332"/>
      <c r="G136" s="329"/>
      <c r="H136" s="329"/>
      <c r="I136" s="237"/>
    </row>
    <row r="137" spans="1:9" ht="18" x14ac:dyDescent="0.35">
      <c r="A137" s="328"/>
      <c r="B137" s="328"/>
      <c r="C137" s="329"/>
      <c r="D137" s="329"/>
      <c r="E137" s="329"/>
      <c r="F137" s="332"/>
      <c r="G137" s="329"/>
      <c r="H137" s="329"/>
      <c r="I137" s="237"/>
    </row>
    <row r="138" spans="1:9" ht="18" x14ac:dyDescent="0.35">
      <c r="A138" s="328"/>
      <c r="B138" s="328"/>
      <c r="C138" s="329"/>
      <c r="D138" s="329"/>
      <c r="E138" s="329"/>
      <c r="F138" s="332"/>
      <c r="G138" s="329"/>
      <c r="H138" s="329"/>
      <c r="I138" s="237"/>
    </row>
    <row r="250" spans="1:1" x14ac:dyDescent="0.3">
      <c r="A250" s="2">
        <v>0</v>
      </c>
    </row>
  </sheetData>
  <sheetProtection password="F258" sheet="1" objects="1" scenarios="1" formatCells="0" formatColumns="0"/>
  <mergeCells count="36">
    <mergeCell ref="B80:C80"/>
    <mergeCell ref="E118:F118"/>
    <mergeCell ref="C64:C67"/>
    <mergeCell ref="D64:D67"/>
    <mergeCell ref="B27:C27"/>
    <mergeCell ref="C32:H32"/>
    <mergeCell ref="D36:E36"/>
    <mergeCell ref="F36:G36"/>
    <mergeCell ref="B79:C79"/>
    <mergeCell ref="B26:C26"/>
    <mergeCell ref="A16:H16"/>
    <mergeCell ref="A17:H17"/>
    <mergeCell ref="B18:C18"/>
    <mergeCell ref="B20:C20"/>
    <mergeCell ref="C29:G29"/>
    <mergeCell ref="C31:H31"/>
    <mergeCell ref="I39:I40"/>
    <mergeCell ref="A46:B47"/>
    <mergeCell ref="C60:C63"/>
    <mergeCell ref="D60:D63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2017-11-03T11:34:50Z</cp:lastPrinted>
  <dcterms:created xsi:type="dcterms:W3CDTF">2005-07-05T10:19:27Z</dcterms:created>
  <dcterms:modified xsi:type="dcterms:W3CDTF">2017-11-14T10:54:51Z</dcterms:modified>
</cp:coreProperties>
</file>