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25" windowWidth="22695" windowHeight="11445" activeTab="2"/>
  </bookViews>
  <sheets>
    <sheet name="Lamivudine SST" sheetId="1" r:id="rId1"/>
    <sheet name="TDF SST" sheetId="7" r:id="rId2"/>
    <sheet name="Efavirenz SST" sheetId="8" r:id="rId3"/>
    <sheet name="Uniformity" sheetId="2" r:id="rId4"/>
    <sheet name="Lamivudine" sheetId="3" r:id="rId5"/>
    <sheet name="Tenofovir Disoproxil Fumarate" sheetId="4" r:id="rId6"/>
    <sheet name="Efavirenz" sheetId="5" r:id="rId7"/>
  </sheets>
  <definedNames>
    <definedName name="_xlnm.Print_Area" localSheetId="6">Efavirenz!$A$1:$I$129</definedName>
    <definedName name="_xlnm.Print_Area" localSheetId="4">Lamivudine!$A$1:$I$129</definedName>
    <definedName name="_xlnm.Print_Area" localSheetId="5">'Tenofovir Disoproxil Fumarate'!$A$1:$I$130</definedName>
    <definedName name="_xlnm.Print_Area" localSheetId="3">Uniformity!$A$12:$L$54</definedName>
  </definedNames>
  <calcPr calcId="144525"/>
</workbook>
</file>

<file path=xl/calcChain.xml><?xml version="1.0" encoding="utf-8"?>
<calcChain xmlns="http://schemas.openxmlformats.org/spreadsheetml/2006/main">
  <c r="E30" i="8" l="1"/>
  <c r="E51" i="8"/>
  <c r="E30" i="7"/>
  <c r="E51" i="7"/>
  <c r="B42" i="1"/>
  <c r="B42" i="7"/>
  <c r="B42" i="8"/>
  <c r="B21" i="8"/>
  <c r="B21" i="7"/>
  <c r="B21" i="1"/>
  <c r="B53" i="8"/>
  <c r="F51" i="8"/>
  <c r="D51" i="8"/>
  <c r="C51" i="8"/>
  <c r="B51" i="8"/>
  <c r="B52" i="8" s="1"/>
  <c r="B32" i="8"/>
  <c r="F30" i="8"/>
  <c r="D30" i="8"/>
  <c r="C30" i="8"/>
  <c r="B30" i="8"/>
  <c r="B31" i="8" s="1"/>
  <c r="B53" i="7"/>
  <c r="F51" i="7"/>
  <c r="D51" i="7"/>
  <c r="C51" i="7"/>
  <c r="B51" i="7"/>
  <c r="B52" i="7" s="1"/>
  <c r="B32" i="7"/>
  <c r="F30" i="7"/>
  <c r="D30" i="7"/>
  <c r="C30" i="7"/>
  <c r="B30" i="7"/>
  <c r="B31" i="7" s="1"/>
  <c r="C124" i="5" l="1"/>
  <c r="B116" i="5"/>
  <c r="D100" i="5" s="1"/>
  <c r="B98" i="5"/>
  <c r="F95" i="5"/>
  <c r="D95" i="5"/>
  <c r="B87" i="5"/>
  <c r="D97" i="5" s="1"/>
  <c r="B81" i="5"/>
  <c r="B83" i="5" s="1"/>
  <c r="B80" i="5"/>
  <c r="B79" i="5"/>
  <c r="C76" i="5"/>
  <c r="B68" i="5"/>
  <c r="B57" i="5"/>
  <c r="C56" i="5"/>
  <c r="B55" i="5"/>
  <c r="B45" i="5"/>
  <c r="D48" i="5" s="1"/>
  <c r="D44" i="5"/>
  <c r="F42" i="5"/>
  <c r="D42" i="5"/>
  <c r="B34" i="5"/>
  <c r="F44" i="5" s="1"/>
  <c r="B30" i="5"/>
  <c r="C124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D49" i="4" s="1"/>
  <c r="F44" i="4"/>
  <c r="D44" i="4"/>
  <c r="F42" i="4"/>
  <c r="D42" i="4"/>
  <c r="B34" i="4"/>
  <c r="B30" i="4"/>
  <c r="C124" i="3"/>
  <c r="B116" i="3"/>
  <c r="D100" i="3" s="1"/>
  <c r="B98" i="3"/>
  <c r="D97" i="3"/>
  <c r="F95" i="3"/>
  <c r="D95" i="3"/>
  <c r="B87" i="3"/>
  <c r="F97" i="3" s="1"/>
  <c r="B81" i="3"/>
  <c r="B83" i="3" s="1"/>
  <c r="B80" i="3"/>
  <c r="B79" i="3"/>
  <c r="C76" i="3"/>
  <c r="B68" i="3"/>
  <c r="B69" i="3" s="1"/>
  <c r="C56" i="3"/>
  <c r="B55" i="3"/>
  <c r="B45" i="3"/>
  <c r="D48" i="3" s="1"/>
  <c r="F42" i="3"/>
  <c r="D42" i="3"/>
  <c r="B34" i="3"/>
  <c r="B30" i="3"/>
  <c r="C46" i="2"/>
  <c r="B57" i="3" s="1"/>
  <c r="C45" i="2"/>
  <c r="D36" i="2"/>
  <c r="D28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39" i="4" l="1"/>
  <c r="I39" i="3"/>
  <c r="I92" i="3"/>
  <c r="D101" i="3"/>
  <c r="F98" i="3"/>
  <c r="F99" i="3" s="1"/>
  <c r="I92" i="5"/>
  <c r="D101" i="5"/>
  <c r="F97" i="5"/>
  <c r="F98" i="5" s="1"/>
  <c r="F99" i="5" s="1"/>
  <c r="I92" i="4"/>
  <c r="D101" i="4"/>
  <c r="D102" i="4" s="1"/>
  <c r="D45" i="4"/>
  <c r="D46" i="4" s="1"/>
  <c r="F45" i="4"/>
  <c r="F46" i="4" s="1"/>
  <c r="I39" i="5"/>
  <c r="F45" i="5"/>
  <c r="F46" i="5" s="1"/>
  <c r="D45" i="5"/>
  <c r="D46" i="5" s="1"/>
  <c r="G39" i="5"/>
  <c r="D98" i="5"/>
  <c r="B69" i="5"/>
  <c r="F98" i="4"/>
  <c r="F99" i="4" s="1"/>
  <c r="D102" i="5"/>
  <c r="D98" i="3"/>
  <c r="D99" i="3" s="1"/>
  <c r="E91" i="3"/>
  <c r="D102" i="3"/>
  <c r="D49" i="3"/>
  <c r="F44" i="3"/>
  <c r="F45" i="3" s="1"/>
  <c r="F46" i="3" s="1"/>
  <c r="D44" i="3"/>
  <c r="D45" i="3" s="1"/>
  <c r="E40" i="3" s="1"/>
  <c r="D33" i="2"/>
  <c r="D41" i="2"/>
  <c r="C50" i="2"/>
  <c r="D34" i="2"/>
  <c r="G38" i="5"/>
  <c r="D29" i="2"/>
  <c r="D25" i="2"/>
  <c r="G41" i="5"/>
  <c r="D26" i="2"/>
  <c r="D42" i="2"/>
  <c r="D50" i="2"/>
  <c r="B57" i="4"/>
  <c r="B69" i="4" s="1"/>
  <c r="D27" i="2"/>
  <c r="D35" i="2"/>
  <c r="D43" i="2"/>
  <c r="D37" i="2"/>
  <c r="D30" i="2"/>
  <c r="B49" i="2"/>
  <c r="D31" i="2"/>
  <c r="D39" i="2"/>
  <c r="C49" i="2"/>
  <c r="D97" i="4"/>
  <c r="D98" i="4" s="1"/>
  <c r="D99" i="4" s="1"/>
  <c r="G40" i="5"/>
  <c r="D38" i="2"/>
  <c r="D49" i="5"/>
  <c r="D24" i="2"/>
  <c r="D32" i="2"/>
  <c r="D40" i="2"/>
  <c r="D49" i="2"/>
  <c r="G93" i="5" l="1"/>
  <c r="G91" i="3"/>
  <c r="G92" i="3"/>
  <c r="G93" i="3"/>
  <c r="G94" i="3"/>
  <c r="E92" i="3"/>
  <c r="G91" i="5"/>
  <c r="G95" i="5" s="1"/>
  <c r="G94" i="5"/>
  <c r="G92" i="5"/>
  <c r="E94" i="5"/>
  <c r="G92" i="4"/>
  <c r="G39" i="4"/>
  <c r="G40" i="4"/>
  <c r="G38" i="4"/>
  <c r="E38" i="4"/>
  <c r="G41" i="4"/>
  <c r="E40" i="4"/>
  <c r="E39" i="4"/>
  <c r="E41" i="4"/>
  <c r="E91" i="4"/>
  <c r="G94" i="4"/>
  <c r="G91" i="4"/>
  <c r="E38" i="5"/>
  <c r="E40" i="5"/>
  <c r="G42" i="5"/>
  <c r="E39" i="5"/>
  <c r="E41" i="5"/>
  <c r="E92" i="5"/>
  <c r="E93" i="5"/>
  <c r="G38" i="3"/>
  <c r="E93" i="4"/>
  <c r="G93" i="4"/>
  <c r="G39" i="3"/>
  <c r="G40" i="3"/>
  <c r="G41" i="3"/>
  <c r="E94" i="3"/>
  <c r="D46" i="3"/>
  <c r="E41" i="3"/>
  <c r="E38" i="3"/>
  <c r="E92" i="4"/>
  <c r="E39" i="3"/>
  <c r="E93" i="3"/>
  <c r="E94" i="4"/>
  <c r="D99" i="5"/>
  <c r="E91" i="5"/>
  <c r="G95" i="3" l="1"/>
  <c r="D105" i="3"/>
  <c r="E95" i="3"/>
  <c r="D103" i="3"/>
  <c r="E111" i="3" s="1"/>
  <c r="F111" i="3" s="1"/>
  <c r="D105" i="4"/>
  <c r="D52" i="4"/>
  <c r="G42" i="4"/>
  <c r="D50" i="4"/>
  <c r="G61" i="4" s="1"/>
  <c r="H61" i="4" s="1"/>
  <c r="E42" i="4"/>
  <c r="G95" i="4"/>
  <c r="D103" i="4"/>
  <c r="E108" i="4" s="1"/>
  <c r="E95" i="4"/>
  <c r="D50" i="5"/>
  <c r="D51" i="5" s="1"/>
  <c r="D52" i="5"/>
  <c r="E42" i="5"/>
  <c r="G42" i="3"/>
  <c r="E42" i="3"/>
  <c r="D50" i="3"/>
  <c r="D52" i="3"/>
  <c r="D104" i="4"/>
  <c r="E112" i="4"/>
  <c r="F112" i="4" s="1"/>
  <c r="E95" i="5"/>
  <c r="D105" i="5"/>
  <c r="D103" i="5"/>
  <c r="G64" i="4"/>
  <c r="H64" i="4" s="1"/>
  <c r="G64" i="5"/>
  <c r="H64" i="5" s="1"/>
  <c r="G60" i="5"/>
  <c r="G65" i="5"/>
  <c r="H65" i="5" s="1"/>
  <c r="G61" i="5"/>
  <c r="H61" i="5" s="1"/>
  <c r="G68" i="5"/>
  <c r="H68" i="5" s="1"/>
  <c r="G71" i="5"/>
  <c r="H71" i="5" s="1"/>
  <c r="G70" i="5"/>
  <c r="H70" i="5" s="1"/>
  <c r="G67" i="5"/>
  <c r="H67" i="5" s="1"/>
  <c r="G63" i="5"/>
  <c r="H63" i="5" s="1"/>
  <c r="G66" i="5"/>
  <c r="H66" i="5" s="1"/>
  <c r="G62" i="5"/>
  <c r="H62" i="5" s="1"/>
  <c r="G69" i="5"/>
  <c r="H69" i="5" s="1"/>
  <c r="E108" i="3" l="1"/>
  <c r="F108" i="3" s="1"/>
  <c r="D104" i="3"/>
  <c r="E112" i="3"/>
  <c r="F112" i="3" s="1"/>
  <c r="E109" i="3"/>
  <c r="F109" i="3" s="1"/>
  <c r="E113" i="3"/>
  <c r="F113" i="3" s="1"/>
  <c r="E110" i="3"/>
  <c r="F110" i="3" s="1"/>
  <c r="G71" i="4"/>
  <c r="H71" i="4" s="1"/>
  <c r="G65" i="4"/>
  <c r="H65" i="4" s="1"/>
  <c r="G68" i="4"/>
  <c r="H68" i="4" s="1"/>
  <c r="D51" i="4"/>
  <c r="G70" i="4"/>
  <c r="H70" i="4" s="1"/>
  <c r="G62" i="4"/>
  <c r="H62" i="4" s="1"/>
  <c r="G63" i="4"/>
  <c r="H63" i="4" s="1"/>
  <c r="G66" i="4"/>
  <c r="H66" i="4" s="1"/>
  <c r="G67" i="4"/>
  <c r="H67" i="4" s="1"/>
  <c r="G69" i="4"/>
  <c r="H69" i="4" s="1"/>
  <c r="G60" i="4"/>
  <c r="H60" i="4" s="1"/>
  <c r="E111" i="4"/>
  <c r="F111" i="4" s="1"/>
  <c r="E113" i="4"/>
  <c r="F113" i="4" s="1"/>
  <c r="E109" i="4"/>
  <c r="F109" i="4" s="1"/>
  <c r="E110" i="4"/>
  <c r="F110" i="4" s="1"/>
  <c r="E113" i="5"/>
  <c r="F113" i="5" s="1"/>
  <c r="E109" i="5"/>
  <c r="F109" i="5" s="1"/>
  <c r="E112" i="5"/>
  <c r="F112" i="5" s="1"/>
  <c r="E111" i="5"/>
  <c r="F111" i="5" s="1"/>
  <c r="E108" i="5"/>
  <c r="E110" i="5"/>
  <c r="F110" i="5" s="1"/>
  <c r="D104" i="5"/>
  <c r="G72" i="5"/>
  <c r="G73" i="5" s="1"/>
  <c r="H60" i="5"/>
  <c r="G74" i="5"/>
  <c r="F108" i="4"/>
  <c r="G66" i="3"/>
  <c r="H66" i="3" s="1"/>
  <c r="G70" i="3"/>
  <c r="H70" i="3" s="1"/>
  <c r="G67" i="3"/>
  <c r="H67" i="3" s="1"/>
  <c r="G63" i="3"/>
  <c r="H63" i="3" s="1"/>
  <c r="G69" i="3"/>
  <c r="H69" i="3" s="1"/>
  <c r="G62" i="3"/>
  <c r="H62" i="3" s="1"/>
  <c r="G65" i="3"/>
  <c r="H65" i="3" s="1"/>
  <c r="G61" i="3"/>
  <c r="H61" i="3" s="1"/>
  <c r="G68" i="3"/>
  <c r="H68" i="3" s="1"/>
  <c r="G71" i="3"/>
  <c r="H71" i="3" s="1"/>
  <c r="G64" i="3"/>
  <c r="H64" i="3" s="1"/>
  <c r="G60" i="3"/>
  <c r="D51" i="3"/>
  <c r="E117" i="3" l="1"/>
  <c r="E115" i="3"/>
  <c r="E116" i="3" s="1"/>
  <c r="E120" i="3"/>
  <c r="E119" i="3"/>
  <c r="E117" i="4"/>
  <c r="E115" i="4"/>
  <c r="E116" i="4" s="1"/>
  <c r="E119" i="4"/>
  <c r="G74" i="4"/>
  <c r="G72" i="4"/>
  <c r="G73" i="4" s="1"/>
  <c r="E120" i="4"/>
  <c r="H72" i="4"/>
  <c r="H74" i="4"/>
  <c r="F120" i="3"/>
  <c r="F119" i="3"/>
  <c r="F115" i="3"/>
  <c r="D125" i="3"/>
  <c r="F125" i="3"/>
  <c r="F117" i="3"/>
  <c r="G74" i="3"/>
  <c r="G72" i="3"/>
  <c r="G73" i="3" s="1"/>
  <c r="H60" i="3"/>
  <c r="F119" i="4"/>
  <c r="F117" i="4"/>
  <c r="F125" i="4"/>
  <c r="D125" i="4"/>
  <c r="F120" i="4"/>
  <c r="F115" i="4"/>
  <c r="E117" i="5"/>
  <c r="F108" i="5"/>
  <c r="E120" i="5"/>
  <c r="E119" i="5"/>
  <c r="E115" i="5"/>
  <c r="E116" i="5" s="1"/>
  <c r="H72" i="5"/>
  <c r="H74" i="5"/>
  <c r="G76" i="5" l="1"/>
  <c r="H73" i="5"/>
  <c r="F125" i="5"/>
  <c r="F117" i="5"/>
  <c r="D125" i="5"/>
  <c r="F115" i="5"/>
  <c r="F119" i="5"/>
  <c r="F120" i="5"/>
  <c r="G124" i="3"/>
  <c r="F116" i="3"/>
  <c r="H74" i="3"/>
  <c r="H72" i="3"/>
  <c r="F116" i="4"/>
  <c r="G124" i="4"/>
  <c r="H73" i="4"/>
  <c r="G76" i="4"/>
  <c r="G124" i="5" l="1"/>
  <c r="F116" i="5"/>
  <c r="H73" i="3"/>
  <c r="G76" i="3"/>
</calcChain>
</file>

<file path=xl/sharedStrings.xml><?xml version="1.0" encoding="utf-8"?>
<sst xmlns="http://schemas.openxmlformats.org/spreadsheetml/2006/main" count="672" uniqueCount="143">
  <si>
    <t>HPLC System Suitability Report</t>
  </si>
  <si>
    <t>Analysis Data</t>
  </si>
  <si>
    <t>Assay</t>
  </si>
  <si>
    <t>Sample(s)</t>
  </si>
  <si>
    <t>Reference Substance:</t>
  </si>
  <si>
    <t>TENOFOVIR DISOPROXIL FUMARATE/  LAMIVUDINE/ EFAVIRENZ  TABLETS 300 mg/300 mg /600 mg</t>
  </si>
  <si>
    <t>% age Purity:</t>
  </si>
  <si>
    <t>NDQB201710256</t>
  </si>
  <si>
    <t>Weight (mg):</t>
  </si>
  <si>
    <t>Tenofovir Disoproxil Fumarate 300mg, Lamivudine 300mg &amp; Efavirenz 600mg tablets</t>
  </si>
  <si>
    <t>Standard Conc (mg/mL):</t>
  </si>
  <si>
    <t>Each film coated tablet contains: Tenofovir disoproxil fumarate 300 mg, Lamivudine USP 300 mg and Efavirenz USP 600 mg.</t>
  </si>
  <si>
    <t>2017-10-24 09:27:30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</si>
  <si>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</si>
  <si>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</si>
  <si>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</si>
  <si>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</si>
  <si>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</si>
  <si>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</si>
  <si>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</si>
  <si>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</si>
  <si>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</si>
  <si>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</si>
  <si>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</si>
  <si>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</si>
  <si>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</si>
  <si>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</si>
  <si>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</si>
  <si>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</si>
  <si>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</si>
  <si>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</si>
  <si>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</si>
  <si>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</si>
  <si>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</si>
  <si>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</si>
  <si>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</si>
  <si>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</si>
  <si>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</si>
  <si>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</si>
  <si>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</si>
  <si>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</si>
  <si>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</si>
  <si>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</si>
  <si>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</si>
  <si>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</si>
  <si>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</si>
  <si>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</si>
  <si>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</si>
  <si>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</si>
  <si>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</si>
  <si>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</si>
  <si>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</si>
  <si>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</si>
  <si>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</si>
  <si>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</si>
  <si>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</si>
  <si>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</si>
  <si>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</si>
  <si>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</si>
  <si>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</si>
  <si>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</si>
  <si>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</si>
  <si>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</si>
  <si>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</si>
  <si>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</si>
  <si>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</si>
  <si>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</si>
  <si>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</si>
  <si>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</si>
  <si>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</si>
  <si>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</si>
  <si>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</si>
  <si>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</si>
  <si>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</si>
  <si>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</si>
  <si>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</si>
  <si>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</si>
  <si>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</si>
  <si>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</si>
  <si>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</si>
  <si>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</si>
  <si>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</si>
  <si>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</si>
  <si>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</si>
  <si>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</si>
  <si>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</si>
  <si>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</si>
  <si>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</si>
  <si>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</si>
  <si>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</si>
  <si>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</si>
  <si>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</si>
  <si>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</si>
  <si>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</si>
  <si>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</si>
  <si>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</si>
  <si>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</si>
  <si>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</si>
  <si>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</si>
  <si>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</si>
  <si>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</si>
  <si>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</si>
  <si>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</si>
  <si>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</si>
  <si>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</si>
  <si>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</si>
  <si>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</si>
  <si>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</si>
  <si>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</si>
  <si>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</si>
  <si>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</si>
  <si>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</si>
  <si>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</si>
  <si>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</si>
  <si>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</si>
  <si>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</si>
  <si>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</si>
  <si>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</si>
  <si>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</si>
  <si>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</si>
  <si>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</si>
  <si>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</si>
  <si>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</si>
  <si>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</si>
  <si>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</si>
  <si>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</si>
  <si>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</si>
  <si>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</si>
  <si>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</si>
  <si>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</si>
  <si>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</si>
  <si>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Efavirenz</t>
  </si>
  <si>
    <t>E15-6</t>
  </si>
  <si>
    <t xml:space="preserve">Tenofovir Disoproxil Fumarate </t>
  </si>
  <si>
    <t>T11-10</t>
  </si>
  <si>
    <t xml:space="preserve"> Lamivudine </t>
  </si>
  <si>
    <t>L3-10</t>
  </si>
  <si>
    <t xml:space="preserve"> Lamivudine</t>
  </si>
  <si>
    <t>RUTTO KENNEDY</t>
  </si>
  <si>
    <t>6TH OCT 2017</t>
  </si>
  <si>
    <t>Tenofovir Disoproxil Fumarate</t>
  </si>
  <si>
    <t>Resolution(USP)</t>
  </si>
  <si>
    <r>
      <t xml:space="preserve">The number of Theoretical Plates (USP) for Lamivudine, TDF and Efavirenz peaks should be </t>
    </r>
    <r>
      <rPr>
        <b/>
        <sz val="12"/>
        <color rgb="FF000000"/>
        <rFont val="Book Antiqua"/>
        <family val="1"/>
      </rPr>
      <t xml:space="preserve">NLT 2000,10000 and 10000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</si>
</sst>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0.0000\ &quot;mg&quot;"/>
    <numFmt numFmtId="170" formatCode="0.000"/>
    <numFmt numFmtId="171" formatCode="0.0\ &quot;mg&quot;"/>
    <numFmt numFmtId="172" formatCode="0.00\ &quot;%&quot;"/>
    <numFmt numFmtId="173" formatCode="0.0\ &quot;%&quot;"/>
    <numFmt numFmtId="174" formatCode="0\ &quot;%&quot;"/>
  </numFmts>
  <fonts count="28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  <family val="2"/>
    </font>
    <font>
      <sz val="12"/>
      <color rgb="FF000000"/>
      <name val="Book Antiqua"/>
      <family val="1"/>
    </font>
    <font>
      <b/>
      <sz val="12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5" fillId="2" borderId="0"/>
  </cellStyleXfs>
  <cellXfs count="71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5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0" fontId="11" fillId="2" borderId="26" xfId="0" applyNumberFormat="1" applyFont="1" applyFill="1" applyBorder="1" applyAlignment="1">
      <alignment horizontal="center"/>
    </xf>
    <xf numFmtId="170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0" fontId="11" fillId="2" borderId="31" xfId="0" applyNumberFormat="1" applyFont="1" applyFill="1" applyBorder="1" applyAlignment="1">
      <alignment horizontal="center"/>
    </xf>
    <xf numFmtId="170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1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0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0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2" fontId="11" fillId="2" borderId="13" xfId="0" applyNumberFormat="1" applyFont="1" applyFill="1" applyBorder="1" applyAlignment="1">
      <alignment horizontal="center" vertical="center"/>
    </xf>
    <xf numFmtId="172" fontId="11" fillId="2" borderId="14" xfId="0" applyNumberFormat="1" applyFont="1" applyFill="1" applyBorder="1" applyAlignment="1">
      <alignment horizontal="center" vertical="center"/>
    </xf>
    <xf numFmtId="172" fontId="11" fillId="2" borderId="15" xfId="0" applyNumberFormat="1" applyFont="1" applyFill="1" applyBorder="1" applyAlignment="1">
      <alignment horizontal="center" vertical="center"/>
    </xf>
    <xf numFmtId="172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2" fontId="11" fillId="2" borderId="22" xfId="0" applyNumberFormat="1" applyFont="1" applyFill="1" applyBorder="1" applyAlignment="1">
      <alignment horizontal="center"/>
    </xf>
    <xf numFmtId="172" fontId="11" fillId="2" borderId="24" xfId="0" applyNumberFormat="1" applyFont="1" applyFill="1" applyBorder="1" applyAlignment="1">
      <alignment horizontal="center"/>
    </xf>
    <xf numFmtId="172" fontId="11" fillId="2" borderId="44" xfId="0" applyNumberFormat="1" applyFont="1" applyFill="1" applyBorder="1" applyAlignment="1">
      <alignment horizontal="center"/>
    </xf>
    <xf numFmtId="172" fontId="11" fillId="2" borderId="24" xfId="0" applyNumberFormat="1" applyFont="1" applyFill="1" applyBorder="1" applyAlignment="1">
      <alignment horizontal="center"/>
    </xf>
    <xf numFmtId="173" fontId="13" fillId="7" borderId="52" xfId="0" applyNumberFormat="1" applyFont="1" applyFill="1" applyBorder="1" applyAlignment="1">
      <alignment horizontal="center"/>
    </xf>
    <xf numFmtId="173" fontId="13" fillId="6" borderId="54" xfId="0" applyNumberFormat="1" applyFont="1" applyFill="1" applyBorder="1" applyAlignment="1">
      <alignment horizontal="center"/>
    </xf>
    <xf numFmtId="173" fontId="13" fillId="7" borderId="46" xfId="0" applyNumberFormat="1" applyFont="1" applyFill="1" applyBorder="1" applyAlignment="1">
      <alignment horizontal="center"/>
    </xf>
    <xf numFmtId="174" fontId="20" fillId="2" borderId="0" xfId="0" applyNumberFormat="1" applyFont="1" applyFill="1" applyAlignment="1">
      <alignment horizontal="center"/>
    </xf>
    <xf numFmtId="173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5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0" fontId="11" fillId="2" borderId="26" xfId="0" applyNumberFormat="1" applyFont="1" applyFill="1" applyBorder="1" applyAlignment="1">
      <alignment horizontal="center"/>
    </xf>
    <xf numFmtId="170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0" fontId="11" fillId="2" borderId="31" xfId="0" applyNumberFormat="1" applyFont="1" applyFill="1" applyBorder="1" applyAlignment="1">
      <alignment horizontal="center"/>
    </xf>
    <xf numFmtId="170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1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0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0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2" fontId="11" fillId="2" borderId="13" xfId="0" applyNumberFormat="1" applyFont="1" applyFill="1" applyBorder="1" applyAlignment="1">
      <alignment horizontal="center" vertical="center"/>
    </xf>
    <xf numFmtId="172" fontId="11" fillId="2" borderId="14" xfId="0" applyNumberFormat="1" applyFont="1" applyFill="1" applyBorder="1" applyAlignment="1">
      <alignment horizontal="center" vertical="center"/>
    </xf>
    <xf numFmtId="172" fontId="11" fillId="2" borderId="15" xfId="0" applyNumberFormat="1" applyFont="1" applyFill="1" applyBorder="1" applyAlignment="1">
      <alignment horizontal="center" vertical="center"/>
    </xf>
    <xf numFmtId="172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2" fontId="11" fillId="2" borderId="22" xfId="0" applyNumberFormat="1" applyFont="1" applyFill="1" applyBorder="1" applyAlignment="1">
      <alignment horizontal="center"/>
    </xf>
    <xf numFmtId="172" fontId="11" fillId="2" borderId="24" xfId="0" applyNumberFormat="1" applyFont="1" applyFill="1" applyBorder="1" applyAlignment="1">
      <alignment horizontal="center"/>
    </xf>
    <xf numFmtId="172" fontId="11" fillId="2" borderId="44" xfId="0" applyNumberFormat="1" applyFont="1" applyFill="1" applyBorder="1" applyAlignment="1">
      <alignment horizontal="center"/>
    </xf>
    <xf numFmtId="172" fontId="11" fillId="2" borderId="24" xfId="0" applyNumberFormat="1" applyFont="1" applyFill="1" applyBorder="1" applyAlignment="1">
      <alignment horizontal="center"/>
    </xf>
    <xf numFmtId="173" fontId="13" fillId="7" borderId="52" xfId="0" applyNumberFormat="1" applyFont="1" applyFill="1" applyBorder="1" applyAlignment="1">
      <alignment horizontal="center"/>
    </xf>
    <xf numFmtId="173" fontId="13" fillId="6" borderId="54" xfId="0" applyNumberFormat="1" applyFont="1" applyFill="1" applyBorder="1" applyAlignment="1">
      <alignment horizontal="center"/>
    </xf>
    <xf numFmtId="173" fontId="13" fillId="7" borderId="46" xfId="0" applyNumberFormat="1" applyFont="1" applyFill="1" applyBorder="1" applyAlignment="1">
      <alignment horizontal="center"/>
    </xf>
    <xf numFmtId="174" fontId="20" fillId="2" borderId="0" xfId="0" applyNumberFormat="1" applyFont="1" applyFill="1" applyAlignment="1">
      <alignment horizontal="center"/>
    </xf>
    <xf numFmtId="173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5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0" fontId="11" fillId="2" borderId="26" xfId="0" applyNumberFormat="1" applyFont="1" applyFill="1" applyBorder="1" applyAlignment="1">
      <alignment horizontal="center"/>
    </xf>
    <xf numFmtId="170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0" fontId="11" fillId="2" borderId="31" xfId="0" applyNumberFormat="1" applyFont="1" applyFill="1" applyBorder="1" applyAlignment="1">
      <alignment horizontal="center"/>
    </xf>
    <xf numFmtId="170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1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0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0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2" fontId="11" fillId="2" borderId="13" xfId="0" applyNumberFormat="1" applyFont="1" applyFill="1" applyBorder="1" applyAlignment="1">
      <alignment horizontal="center" vertical="center"/>
    </xf>
    <xf numFmtId="172" fontId="11" fillId="2" borderId="14" xfId="0" applyNumberFormat="1" applyFont="1" applyFill="1" applyBorder="1" applyAlignment="1">
      <alignment horizontal="center" vertical="center"/>
    </xf>
    <xf numFmtId="172" fontId="11" fillId="2" borderId="15" xfId="0" applyNumberFormat="1" applyFont="1" applyFill="1" applyBorder="1" applyAlignment="1">
      <alignment horizontal="center" vertical="center"/>
    </xf>
    <xf numFmtId="172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2" fontId="11" fillId="2" borderId="22" xfId="0" applyNumberFormat="1" applyFont="1" applyFill="1" applyBorder="1" applyAlignment="1">
      <alignment horizontal="center"/>
    </xf>
    <xf numFmtId="172" fontId="11" fillId="2" borderId="24" xfId="0" applyNumberFormat="1" applyFont="1" applyFill="1" applyBorder="1" applyAlignment="1">
      <alignment horizontal="center"/>
    </xf>
    <xf numFmtId="172" fontId="11" fillId="2" borderId="44" xfId="0" applyNumberFormat="1" applyFont="1" applyFill="1" applyBorder="1" applyAlignment="1">
      <alignment horizontal="center"/>
    </xf>
    <xf numFmtId="172" fontId="11" fillId="2" borderId="24" xfId="0" applyNumberFormat="1" applyFont="1" applyFill="1" applyBorder="1" applyAlignment="1">
      <alignment horizontal="center"/>
    </xf>
    <xf numFmtId="173" fontId="13" fillId="7" borderId="52" xfId="0" applyNumberFormat="1" applyFont="1" applyFill="1" applyBorder="1" applyAlignment="1">
      <alignment horizontal="center"/>
    </xf>
    <xf numFmtId="173" fontId="13" fillId="6" borderId="54" xfId="0" applyNumberFormat="1" applyFont="1" applyFill="1" applyBorder="1" applyAlignment="1">
      <alignment horizontal="center"/>
    </xf>
    <xf numFmtId="173" fontId="13" fillId="7" borderId="46" xfId="0" applyNumberFormat="1" applyFont="1" applyFill="1" applyBorder="1" applyAlignment="1">
      <alignment horizontal="center"/>
    </xf>
    <xf numFmtId="174" fontId="20" fillId="2" borderId="0" xfId="0" applyNumberFormat="1" applyFont="1" applyFill="1" applyAlignment="1">
      <alignment horizontal="center"/>
    </xf>
    <xf numFmtId="173" fontId="13" fillId="2" borderId="0" xfId="0" applyNumberFormat="1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2" fillId="2" borderId="0" xfId="0" applyNumberFormat="1" applyFont="1" applyFill="1" applyBorder="1"/>
    <xf numFmtId="0" fontId="26" fillId="2" borderId="0" xfId="1" applyFont="1" applyFill="1" applyAlignment="1" applyProtection="1">
      <alignment horizontal="left"/>
      <protection locked="0"/>
    </xf>
  </cellXfs>
  <cellStyles count="2">
    <cellStyle name="Normal" xfId="0" builtinId="0"/>
    <cellStyle name="Normal 2" xfId="1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7" workbookViewId="0">
      <selection activeCell="C35" sqref="C35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663" t="s">
        <v>0</v>
      </c>
      <c r="B15" s="663"/>
      <c r="C15" s="663"/>
      <c r="D15" s="663"/>
      <c r="E15" s="663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8" t="s">
        <v>137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99.39</v>
      </c>
      <c r="C19" s="10"/>
      <c r="D19" s="10"/>
      <c r="E19" s="10"/>
    </row>
    <row r="20" spans="1:6" ht="16.5" customHeight="1" x14ac:dyDescent="0.3">
      <c r="A20" s="7" t="s">
        <v>8</v>
      </c>
      <c r="B20" s="12">
        <v>12.03</v>
      </c>
      <c r="C20" s="10"/>
      <c r="D20" s="10"/>
      <c r="E20" s="10"/>
    </row>
    <row r="21" spans="1:6" ht="16.5" customHeight="1" x14ac:dyDescent="0.3">
      <c r="A21" s="7" t="s">
        <v>10</v>
      </c>
      <c r="B21" s="13">
        <f>12.03/100</f>
        <v>0.12029999999999999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24639356</v>
      </c>
      <c r="C24" s="18">
        <v>5293.45</v>
      </c>
      <c r="D24" s="19">
        <v>1.02</v>
      </c>
      <c r="E24" s="20">
        <v>4.0999999999999996</v>
      </c>
    </row>
    <row r="25" spans="1:6" ht="16.5" customHeight="1" x14ac:dyDescent="0.3">
      <c r="A25" s="17">
        <v>2</v>
      </c>
      <c r="B25" s="18">
        <v>25073902</v>
      </c>
      <c r="C25" s="18">
        <v>5288.98</v>
      </c>
      <c r="D25" s="19">
        <v>1.01</v>
      </c>
      <c r="E25" s="19">
        <v>4.0999999999999996</v>
      </c>
    </row>
    <row r="26" spans="1:6" ht="16.5" customHeight="1" x14ac:dyDescent="0.3">
      <c r="A26" s="17">
        <v>3</v>
      </c>
      <c r="B26" s="18">
        <v>24956836</v>
      </c>
      <c r="C26" s="18">
        <v>5296.17</v>
      </c>
      <c r="D26" s="19">
        <v>1.01</v>
      </c>
      <c r="E26" s="19">
        <v>4.0999999999999996</v>
      </c>
    </row>
    <row r="27" spans="1:6" ht="16.5" customHeight="1" x14ac:dyDescent="0.3">
      <c r="A27" s="17">
        <v>4</v>
      </c>
      <c r="B27" s="18">
        <v>25124742</v>
      </c>
      <c r="C27" s="18">
        <v>5286.82</v>
      </c>
      <c r="D27" s="19">
        <v>0.99</v>
      </c>
      <c r="E27" s="19">
        <v>4.0999999999999996</v>
      </c>
    </row>
    <row r="28" spans="1:6" ht="16.5" customHeight="1" x14ac:dyDescent="0.3">
      <c r="A28" s="17">
        <v>5</v>
      </c>
      <c r="B28" s="18">
        <v>24948283</v>
      </c>
      <c r="C28" s="18">
        <v>5318.27</v>
      </c>
      <c r="D28" s="19">
        <v>0.98</v>
      </c>
      <c r="E28" s="19">
        <v>4.0999999999999996</v>
      </c>
    </row>
    <row r="29" spans="1:6" ht="16.5" customHeight="1" x14ac:dyDescent="0.3">
      <c r="A29" s="17">
        <v>6</v>
      </c>
      <c r="B29" s="21">
        <v>24969013</v>
      </c>
      <c r="C29" s="21">
        <v>5248.8</v>
      </c>
      <c r="D29" s="22">
        <v>0.98</v>
      </c>
      <c r="E29" s="22">
        <v>4.0999999999999996</v>
      </c>
    </row>
    <row r="30" spans="1:6" ht="16.5" customHeight="1" x14ac:dyDescent="0.3">
      <c r="A30" s="23" t="s">
        <v>18</v>
      </c>
      <c r="B30" s="24">
        <f>AVERAGE(B24:B29)</f>
        <v>24952022</v>
      </c>
      <c r="C30" s="25">
        <f>AVERAGE(C24:C29)</f>
        <v>5288.748333333333</v>
      </c>
      <c r="D30" s="26">
        <f>AVERAGE(D24:D29)</f>
        <v>0.99833333333333341</v>
      </c>
      <c r="E30" s="26">
        <f>AVERAGE(E24:E29)</f>
        <v>4.1000000000000005</v>
      </c>
    </row>
    <row r="31" spans="1:6" ht="16.5" customHeight="1" x14ac:dyDescent="0.3">
      <c r="A31" s="27" t="s">
        <v>19</v>
      </c>
      <c r="B31" s="28">
        <f>(STDEV(B24:B29)/B30)</f>
        <v>6.7722347747439801E-3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715" t="s">
        <v>142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">
        <v>137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99.39</v>
      </c>
      <c r="C40" s="10"/>
      <c r="D40" s="10"/>
      <c r="E40" s="10"/>
    </row>
    <row r="41" spans="1:6" ht="16.5" customHeight="1" x14ac:dyDescent="0.3">
      <c r="A41" s="7" t="s">
        <v>8</v>
      </c>
      <c r="B41" s="12">
        <v>15.38</v>
      </c>
      <c r="C41" s="10"/>
      <c r="D41" s="10"/>
      <c r="E41" s="10"/>
    </row>
    <row r="42" spans="1:6" ht="16.5" customHeight="1" x14ac:dyDescent="0.3">
      <c r="A42" s="7" t="s">
        <v>10</v>
      </c>
      <c r="B42" s="13">
        <f>15.38/50</f>
        <v>0.30760000000000004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4967644</v>
      </c>
      <c r="C45" s="18">
        <v>483</v>
      </c>
      <c r="D45" s="19">
        <v>1.1299999999999999</v>
      </c>
      <c r="E45" s="20">
        <v>2.08</v>
      </c>
    </row>
    <row r="46" spans="1:6" ht="16.5" customHeight="1" x14ac:dyDescent="0.3">
      <c r="A46" s="17">
        <v>2</v>
      </c>
      <c r="B46" s="18">
        <v>4968924</v>
      </c>
      <c r="C46" s="18">
        <v>475</v>
      </c>
      <c r="D46" s="19">
        <v>1.1499999999999999</v>
      </c>
      <c r="E46" s="19">
        <v>2.0699999999999998</v>
      </c>
    </row>
    <row r="47" spans="1:6" ht="16.5" customHeight="1" x14ac:dyDescent="0.3">
      <c r="A47" s="17">
        <v>3</v>
      </c>
      <c r="B47" s="18">
        <v>4976023</v>
      </c>
      <c r="C47" s="18">
        <v>469</v>
      </c>
      <c r="D47" s="19">
        <v>1.1399999999999999</v>
      </c>
      <c r="E47" s="19">
        <v>2.08</v>
      </c>
    </row>
    <row r="48" spans="1:6" ht="16.5" customHeight="1" x14ac:dyDescent="0.3">
      <c r="A48" s="17">
        <v>4</v>
      </c>
      <c r="B48" s="18">
        <v>4971972</v>
      </c>
      <c r="C48" s="18">
        <v>476</v>
      </c>
      <c r="D48" s="19">
        <v>1.1499999999999999</v>
      </c>
      <c r="E48" s="19">
        <v>2.08</v>
      </c>
    </row>
    <row r="49" spans="1:7" ht="16.5" customHeight="1" x14ac:dyDescent="0.3">
      <c r="A49" s="17">
        <v>5</v>
      </c>
      <c r="B49" s="18">
        <v>4975236</v>
      </c>
      <c r="C49" s="18">
        <v>477</v>
      </c>
      <c r="D49" s="19">
        <v>1.1499999999999999</v>
      </c>
      <c r="E49" s="19">
        <v>2.08</v>
      </c>
    </row>
    <row r="50" spans="1:7" ht="16.5" customHeight="1" x14ac:dyDescent="0.3">
      <c r="A50" s="17">
        <v>6</v>
      </c>
      <c r="B50" s="21">
        <v>4975056</v>
      </c>
      <c r="C50" s="21">
        <v>471</v>
      </c>
      <c r="D50" s="22">
        <v>1.1599999999999999</v>
      </c>
      <c r="E50" s="22">
        <v>2.08</v>
      </c>
    </row>
    <row r="51" spans="1:7" ht="16.5" customHeight="1" x14ac:dyDescent="0.3">
      <c r="A51" s="23" t="s">
        <v>18</v>
      </c>
      <c r="B51" s="24">
        <f>AVERAGE(B45:B50)</f>
        <v>4972475.833333333</v>
      </c>
      <c r="C51" s="25">
        <f>AVERAGE(C45:C50)</f>
        <v>475.16666666666669</v>
      </c>
      <c r="D51" s="26">
        <f>AVERAGE(D45:D50)</f>
        <v>1.1466666666666667</v>
      </c>
      <c r="E51" s="26">
        <f>AVERAGE(E45:E50)</f>
        <v>2.0783333333333336</v>
      </c>
    </row>
    <row r="52" spans="1:7" ht="16.5" customHeight="1" x14ac:dyDescent="0.3">
      <c r="A52" s="27" t="s">
        <v>19</v>
      </c>
      <c r="B52" s="28">
        <f>(STDEV(B45:B50)/B51)</f>
        <v>7.1427924317349649E-4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664" t="s">
        <v>26</v>
      </c>
      <c r="C59" s="664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 t="s">
        <v>138</v>
      </c>
      <c r="C60" s="48"/>
      <c r="E60" s="48" t="s">
        <v>139</v>
      </c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J61"/>
  <sheetViews>
    <sheetView topLeftCell="A10" workbookViewId="0">
      <selection activeCell="B35" sqref="B35"/>
    </sheetView>
  </sheetViews>
  <sheetFormatPr defaultRowHeight="13.5" x14ac:dyDescent="0.25"/>
  <cols>
    <col min="1" max="1" width="27.5703125" style="596" customWidth="1"/>
    <col min="2" max="2" width="20.42578125" style="596" customWidth="1"/>
    <col min="3" max="3" width="31.85546875" style="596" customWidth="1"/>
    <col min="4" max="5" width="25.85546875" style="596" customWidth="1"/>
    <col min="6" max="6" width="25.7109375" style="596" customWidth="1"/>
    <col min="7" max="7" width="23.140625" style="596" customWidth="1"/>
    <col min="8" max="8" width="28.42578125" style="596" customWidth="1"/>
    <col min="9" max="9" width="21.5703125" style="596" customWidth="1"/>
    <col min="10" max="10" width="9.140625" style="596" customWidth="1"/>
    <col min="11" max="16384" width="9.140625" style="44"/>
  </cols>
  <sheetData>
    <row r="14" spans="1:7" ht="15" customHeight="1" x14ac:dyDescent="0.3">
      <c r="A14" s="1"/>
      <c r="C14" s="3"/>
      <c r="G14" s="3"/>
    </row>
    <row r="15" spans="1:7" ht="18.75" customHeight="1" x14ac:dyDescent="0.3">
      <c r="A15" s="663" t="s">
        <v>0</v>
      </c>
      <c r="B15" s="663"/>
      <c r="C15" s="663"/>
      <c r="D15" s="663"/>
      <c r="E15" s="663"/>
      <c r="F15" s="663"/>
    </row>
    <row r="16" spans="1:7" ht="16.5" customHeight="1" x14ac:dyDescent="0.3">
      <c r="A16" s="90" t="s">
        <v>1</v>
      </c>
      <c r="B16" s="59" t="s">
        <v>2</v>
      </c>
    </row>
    <row r="17" spans="1:6" ht="16.5" customHeight="1" x14ac:dyDescent="0.3">
      <c r="A17" s="8" t="s">
        <v>3</v>
      </c>
      <c r="B17" s="8" t="s">
        <v>5</v>
      </c>
      <c r="D17" s="9"/>
      <c r="E17" s="9"/>
      <c r="F17" s="72"/>
    </row>
    <row r="18" spans="1:6" ht="16.5" customHeight="1" x14ac:dyDescent="0.3">
      <c r="A18" s="75" t="s">
        <v>4</v>
      </c>
      <c r="B18" s="8" t="s">
        <v>140</v>
      </c>
      <c r="C18" s="72"/>
      <c r="D18" s="72"/>
      <c r="E18" s="72"/>
      <c r="F18" s="72"/>
    </row>
    <row r="19" spans="1:6" ht="16.5" customHeight="1" x14ac:dyDescent="0.3">
      <c r="A19" s="75" t="s">
        <v>6</v>
      </c>
      <c r="B19" s="12">
        <v>99.54</v>
      </c>
      <c r="C19" s="72"/>
      <c r="D19" s="72"/>
      <c r="E19" s="72"/>
      <c r="F19" s="72"/>
    </row>
    <row r="20" spans="1:6" ht="16.5" customHeight="1" x14ac:dyDescent="0.3">
      <c r="A20" s="8" t="s">
        <v>8</v>
      </c>
      <c r="B20" s="12">
        <v>11.55</v>
      </c>
      <c r="C20" s="72"/>
      <c r="D20" s="72"/>
      <c r="E20" s="72"/>
      <c r="F20" s="72"/>
    </row>
    <row r="21" spans="1:6" ht="16.5" customHeight="1" x14ac:dyDescent="0.3">
      <c r="A21" s="8" t="s">
        <v>10</v>
      </c>
      <c r="B21" s="13">
        <f>11.55/100</f>
        <v>0.11550000000000001</v>
      </c>
      <c r="C21" s="72"/>
      <c r="D21" s="72"/>
      <c r="E21" s="72"/>
      <c r="F21" s="72"/>
    </row>
    <row r="22" spans="1:6" ht="15.75" customHeight="1" x14ac:dyDescent="0.25">
      <c r="A22" s="72"/>
      <c r="B22" s="72"/>
      <c r="C22" s="72"/>
      <c r="D22" s="72"/>
      <c r="E22" s="72"/>
      <c r="F22" s="72"/>
    </row>
    <row r="23" spans="1:6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141</v>
      </c>
      <c r="F23" s="16" t="s">
        <v>17</v>
      </c>
    </row>
    <row r="24" spans="1:6" ht="16.5" customHeight="1" x14ac:dyDescent="0.3">
      <c r="A24" s="17">
        <v>1</v>
      </c>
      <c r="B24" s="18">
        <v>11099268</v>
      </c>
      <c r="C24" s="18">
        <v>47848.74</v>
      </c>
      <c r="D24" s="19">
        <v>1.35</v>
      </c>
      <c r="E24" s="19">
        <v>45.9</v>
      </c>
      <c r="F24" s="20">
        <v>16.03</v>
      </c>
    </row>
    <row r="25" spans="1:6" ht="16.5" customHeight="1" x14ac:dyDescent="0.3">
      <c r="A25" s="17">
        <v>2</v>
      </c>
      <c r="B25" s="18">
        <v>11268340</v>
      </c>
      <c r="C25" s="18">
        <v>48292.959999999999</v>
      </c>
      <c r="D25" s="19">
        <v>1.35</v>
      </c>
      <c r="E25" s="19">
        <v>46.15</v>
      </c>
      <c r="F25" s="19">
        <v>16.03</v>
      </c>
    </row>
    <row r="26" spans="1:6" ht="16.5" customHeight="1" x14ac:dyDescent="0.3">
      <c r="A26" s="17">
        <v>3</v>
      </c>
      <c r="B26" s="18">
        <v>11252816</v>
      </c>
      <c r="C26" s="18">
        <v>48525.84</v>
      </c>
      <c r="D26" s="19">
        <v>1.31</v>
      </c>
      <c r="E26" s="19">
        <v>46.26</v>
      </c>
      <c r="F26" s="19">
        <v>16.04</v>
      </c>
    </row>
    <row r="27" spans="1:6" ht="16.5" customHeight="1" x14ac:dyDescent="0.3">
      <c r="A27" s="17">
        <v>4</v>
      </c>
      <c r="B27" s="18">
        <v>11327916</v>
      </c>
      <c r="C27" s="18">
        <v>48123.64</v>
      </c>
      <c r="D27" s="19">
        <v>1.31</v>
      </c>
      <c r="E27" s="19">
        <v>46.13</v>
      </c>
      <c r="F27" s="19">
        <v>16.04</v>
      </c>
    </row>
    <row r="28" spans="1:6" ht="16.5" customHeight="1" x14ac:dyDescent="0.3">
      <c r="A28" s="17">
        <v>5</v>
      </c>
      <c r="B28" s="18">
        <v>11267633</v>
      </c>
      <c r="C28" s="18">
        <v>48418.57</v>
      </c>
      <c r="D28" s="19">
        <v>1.34</v>
      </c>
      <c r="E28" s="19">
        <v>46.23</v>
      </c>
      <c r="F28" s="19">
        <v>16.04</v>
      </c>
    </row>
    <row r="29" spans="1:6" ht="16.5" customHeight="1" x14ac:dyDescent="0.3">
      <c r="A29" s="17">
        <v>6</v>
      </c>
      <c r="B29" s="21">
        <v>11287731</v>
      </c>
      <c r="C29" s="21">
        <v>48421.86</v>
      </c>
      <c r="D29" s="22">
        <v>1.32</v>
      </c>
      <c r="E29" s="22">
        <v>46.11</v>
      </c>
      <c r="F29" s="22">
        <v>16.05</v>
      </c>
    </row>
    <row r="30" spans="1:6" ht="16.5" customHeight="1" x14ac:dyDescent="0.3">
      <c r="A30" s="23" t="s">
        <v>18</v>
      </c>
      <c r="B30" s="24">
        <f>AVERAGE(B24:B29)</f>
        <v>11250617.333333334</v>
      </c>
      <c r="C30" s="25">
        <f>AVERAGE(C24:C29)</f>
        <v>48271.934999999998</v>
      </c>
      <c r="D30" s="26">
        <f>AVERAGE(D24:D29)</f>
        <v>1.33</v>
      </c>
      <c r="E30" s="26">
        <f>AVERAGE(E24:E29)</f>
        <v>46.129999999999995</v>
      </c>
      <c r="F30" s="26">
        <f>AVERAGE(F24:F29)</f>
        <v>16.038333333333334</v>
      </c>
    </row>
    <row r="31" spans="1:6" ht="16.5" customHeight="1" x14ac:dyDescent="0.3">
      <c r="A31" s="27" t="s">
        <v>19</v>
      </c>
      <c r="B31" s="28">
        <f>(STDEV(B24:B29)/B30)</f>
        <v>6.9837711162922403E-3</v>
      </c>
      <c r="C31" s="29"/>
      <c r="D31" s="29"/>
      <c r="E31" s="29"/>
      <c r="F31" s="30"/>
    </row>
    <row r="32" spans="1:6" s="596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73"/>
      <c r="F32" s="35"/>
    </row>
    <row r="33" spans="1:6" s="596" customFormat="1" ht="15.75" customHeight="1" x14ac:dyDescent="0.25">
      <c r="A33" s="72"/>
      <c r="B33" s="72"/>
      <c r="C33" s="72"/>
      <c r="D33" s="72"/>
      <c r="E33" s="72"/>
      <c r="F33" s="72"/>
    </row>
    <row r="34" spans="1:6" s="596" customFormat="1" ht="16.5" customHeight="1" x14ac:dyDescent="0.3">
      <c r="A34" s="75" t="s">
        <v>21</v>
      </c>
      <c r="B34" s="40" t="s">
        <v>22</v>
      </c>
      <c r="C34" s="39"/>
      <c r="D34" s="39"/>
      <c r="E34" s="39"/>
      <c r="F34" s="39"/>
    </row>
    <row r="35" spans="1:6" ht="16.5" customHeight="1" x14ac:dyDescent="0.3">
      <c r="A35" s="75"/>
      <c r="B35" s="715" t="s">
        <v>142</v>
      </c>
      <c r="C35" s="39"/>
      <c r="D35" s="39"/>
      <c r="E35" s="39"/>
      <c r="F35" s="39"/>
    </row>
    <row r="36" spans="1:6" ht="16.5" customHeight="1" x14ac:dyDescent="0.3">
      <c r="A36" s="75"/>
      <c r="B36" s="40" t="s">
        <v>24</v>
      </c>
      <c r="C36" s="39"/>
      <c r="D36" s="39"/>
      <c r="E36" s="39"/>
      <c r="F36" s="39"/>
    </row>
    <row r="37" spans="1:6" ht="15.75" customHeight="1" x14ac:dyDescent="0.25">
      <c r="A37" s="72"/>
      <c r="B37" s="72"/>
      <c r="C37" s="72"/>
      <c r="D37" s="72"/>
      <c r="E37" s="72"/>
      <c r="F37" s="72"/>
    </row>
    <row r="38" spans="1:6" ht="16.5" customHeight="1" x14ac:dyDescent="0.3">
      <c r="A38" s="90" t="s">
        <v>1</v>
      </c>
      <c r="B38" s="59" t="s">
        <v>25</v>
      </c>
    </row>
    <row r="39" spans="1:6" ht="16.5" customHeight="1" x14ac:dyDescent="0.3">
      <c r="A39" s="75" t="s">
        <v>4</v>
      </c>
      <c r="B39" s="8" t="s">
        <v>140</v>
      </c>
      <c r="C39" s="72"/>
      <c r="D39" s="72"/>
      <c r="E39" s="72"/>
      <c r="F39" s="72"/>
    </row>
    <row r="40" spans="1:6" ht="16.5" customHeight="1" x14ac:dyDescent="0.3">
      <c r="A40" s="75" t="s">
        <v>6</v>
      </c>
      <c r="B40" s="12">
        <v>99.54</v>
      </c>
      <c r="C40" s="72"/>
      <c r="D40" s="72"/>
      <c r="E40" s="72"/>
      <c r="F40" s="72"/>
    </row>
    <row r="41" spans="1:6" ht="16.5" customHeight="1" x14ac:dyDescent="0.3">
      <c r="A41" s="8" t="s">
        <v>8</v>
      </c>
      <c r="B41" s="12">
        <v>14.57</v>
      </c>
      <c r="C41" s="72"/>
      <c r="D41" s="72"/>
      <c r="E41" s="72"/>
      <c r="F41" s="72"/>
    </row>
    <row r="42" spans="1:6" ht="16.5" customHeight="1" x14ac:dyDescent="0.3">
      <c r="A42" s="8" t="s">
        <v>10</v>
      </c>
      <c r="B42" s="13">
        <f>14.57/50</f>
        <v>0.29139999999999999</v>
      </c>
      <c r="C42" s="72"/>
      <c r="D42" s="72"/>
      <c r="E42" s="72"/>
      <c r="F42" s="72"/>
    </row>
    <row r="43" spans="1:6" ht="15.75" customHeight="1" x14ac:dyDescent="0.25">
      <c r="A43" s="72"/>
      <c r="B43" s="72"/>
      <c r="C43" s="72"/>
      <c r="D43" s="72"/>
      <c r="E43" s="72"/>
      <c r="F43" s="72"/>
    </row>
    <row r="44" spans="1:6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141</v>
      </c>
      <c r="F44" s="16" t="s">
        <v>17</v>
      </c>
    </row>
    <row r="45" spans="1:6" ht="16.5" customHeight="1" x14ac:dyDescent="0.3">
      <c r="A45" s="17">
        <v>1</v>
      </c>
      <c r="B45" s="18">
        <v>3492809</v>
      </c>
      <c r="C45" s="18">
        <v>9175</v>
      </c>
      <c r="D45" s="19">
        <v>1.41</v>
      </c>
      <c r="E45" s="19">
        <v>15.41</v>
      </c>
      <c r="F45" s="20">
        <v>7.36</v>
      </c>
    </row>
    <row r="46" spans="1:6" ht="16.5" customHeight="1" x14ac:dyDescent="0.3">
      <c r="A46" s="17">
        <v>2</v>
      </c>
      <c r="B46" s="18">
        <v>3493078</v>
      </c>
      <c r="C46" s="18">
        <v>9196</v>
      </c>
      <c r="D46" s="19">
        <v>1.42</v>
      </c>
      <c r="E46" s="19">
        <v>15.39</v>
      </c>
      <c r="F46" s="19">
        <v>7.36</v>
      </c>
    </row>
    <row r="47" spans="1:6" ht="16.5" customHeight="1" x14ac:dyDescent="0.3">
      <c r="A47" s="17">
        <v>3</v>
      </c>
      <c r="B47" s="18">
        <v>3496573</v>
      </c>
      <c r="C47" s="18">
        <v>9130</v>
      </c>
      <c r="D47" s="19">
        <v>1.37</v>
      </c>
      <c r="E47" s="19">
        <v>15.28</v>
      </c>
      <c r="F47" s="19">
        <v>7.37</v>
      </c>
    </row>
    <row r="48" spans="1:6" ht="16.5" customHeight="1" x14ac:dyDescent="0.3">
      <c r="A48" s="17">
        <v>4</v>
      </c>
      <c r="B48" s="18">
        <v>3492690</v>
      </c>
      <c r="C48" s="18">
        <v>9292</v>
      </c>
      <c r="D48" s="19">
        <v>1.37</v>
      </c>
      <c r="E48" s="19">
        <v>15.41</v>
      </c>
      <c r="F48" s="19">
        <v>7.37</v>
      </c>
    </row>
    <row r="49" spans="1:8" ht="16.5" customHeight="1" x14ac:dyDescent="0.3">
      <c r="A49" s="17">
        <v>5</v>
      </c>
      <c r="B49" s="18">
        <v>3497430</v>
      </c>
      <c r="C49" s="18">
        <v>9270</v>
      </c>
      <c r="D49" s="19">
        <v>1.37</v>
      </c>
      <c r="E49" s="19">
        <v>15.4</v>
      </c>
      <c r="F49" s="19">
        <v>7.37</v>
      </c>
    </row>
    <row r="50" spans="1:8" ht="16.5" customHeight="1" x14ac:dyDescent="0.3">
      <c r="A50" s="17">
        <v>6</v>
      </c>
      <c r="B50" s="21">
        <v>3495880</v>
      </c>
      <c r="C50" s="21">
        <v>9297</v>
      </c>
      <c r="D50" s="22">
        <v>1.38</v>
      </c>
      <c r="E50" s="22">
        <v>15.36</v>
      </c>
      <c r="F50" s="22">
        <v>7.37</v>
      </c>
    </row>
    <row r="51" spans="1:8" ht="16.5" customHeight="1" x14ac:dyDescent="0.3">
      <c r="A51" s="23" t="s">
        <v>18</v>
      </c>
      <c r="B51" s="24">
        <f>AVERAGE(B45:B50)</f>
        <v>3494743.3333333335</v>
      </c>
      <c r="C51" s="25">
        <f>AVERAGE(C45:C50)</f>
        <v>9226.6666666666661</v>
      </c>
      <c r="D51" s="26">
        <f>AVERAGE(D45:D50)</f>
        <v>1.3866666666666667</v>
      </c>
      <c r="E51" s="26">
        <f>AVERAGE(E45:E50)</f>
        <v>15.375</v>
      </c>
      <c r="F51" s="26">
        <f>AVERAGE(F45:F50)</f>
        <v>7.3666666666666663</v>
      </c>
    </row>
    <row r="52" spans="1:8" ht="16.5" customHeight="1" x14ac:dyDescent="0.3">
      <c r="A52" s="27" t="s">
        <v>19</v>
      </c>
      <c r="B52" s="28">
        <f>(STDEV(B45:B50)/B51)</f>
        <v>6.0820288826005781E-4</v>
      </c>
      <c r="C52" s="29"/>
      <c r="D52" s="29"/>
      <c r="E52" s="29"/>
      <c r="F52" s="30"/>
    </row>
    <row r="53" spans="1:8" s="596" customFormat="1" ht="16.5" customHeight="1" x14ac:dyDescent="0.3">
      <c r="A53" s="31" t="s">
        <v>20</v>
      </c>
      <c r="B53" s="32">
        <f>COUNT(B45:B50)</f>
        <v>6</v>
      </c>
      <c r="C53" s="33"/>
      <c r="D53" s="73"/>
      <c r="E53" s="73"/>
      <c r="F53" s="35"/>
    </row>
    <row r="54" spans="1:8" s="596" customFormat="1" ht="15.75" customHeight="1" x14ac:dyDescent="0.25">
      <c r="A54" s="72"/>
      <c r="B54" s="72"/>
      <c r="C54" s="72"/>
      <c r="D54" s="72"/>
      <c r="E54" s="72"/>
      <c r="F54" s="72"/>
    </row>
    <row r="55" spans="1:8" s="596" customFormat="1" ht="16.5" customHeight="1" x14ac:dyDescent="0.3">
      <c r="A55" s="75" t="s">
        <v>21</v>
      </c>
      <c r="B55" s="40" t="s">
        <v>22</v>
      </c>
      <c r="C55" s="39"/>
      <c r="D55" s="39"/>
      <c r="E55" s="39"/>
      <c r="F55" s="39"/>
    </row>
    <row r="56" spans="1:8" ht="16.5" customHeight="1" x14ac:dyDescent="0.3">
      <c r="A56" s="75"/>
      <c r="B56" s="40" t="s">
        <v>23</v>
      </c>
      <c r="C56" s="39"/>
      <c r="D56" s="39"/>
      <c r="E56" s="39"/>
      <c r="F56" s="39"/>
    </row>
    <row r="57" spans="1:8" ht="16.5" customHeight="1" x14ac:dyDescent="0.3">
      <c r="A57" s="75"/>
      <c r="B57" s="40" t="s">
        <v>24</v>
      </c>
      <c r="C57" s="39"/>
      <c r="D57" s="39"/>
      <c r="E57" s="39"/>
      <c r="F57" s="39"/>
    </row>
    <row r="58" spans="1:8" ht="14.25" customHeight="1" thickBot="1" x14ac:dyDescent="0.3">
      <c r="A58" s="41"/>
      <c r="B58" s="526"/>
      <c r="D58" s="43"/>
      <c r="E58" s="714"/>
      <c r="G58" s="44"/>
      <c r="H58" s="44"/>
    </row>
    <row r="59" spans="1:8" ht="15" customHeight="1" x14ac:dyDescent="0.3">
      <c r="B59" s="664" t="s">
        <v>26</v>
      </c>
      <c r="C59" s="664"/>
      <c r="F59" s="662" t="s">
        <v>27</v>
      </c>
      <c r="G59" s="46"/>
      <c r="H59" s="662" t="s">
        <v>28</v>
      </c>
    </row>
    <row r="60" spans="1:8" ht="15" customHeight="1" x14ac:dyDescent="0.3">
      <c r="A60" s="47" t="s">
        <v>29</v>
      </c>
      <c r="B60" s="49" t="s">
        <v>138</v>
      </c>
      <c r="C60" s="49"/>
      <c r="F60" s="49" t="s">
        <v>139</v>
      </c>
      <c r="H60" s="49"/>
    </row>
    <row r="61" spans="1:8" ht="15" customHeight="1" x14ac:dyDescent="0.3">
      <c r="A61" s="47" t="s">
        <v>30</v>
      </c>
      <c r="B61" s="50"/>
      <c r="C61" s="50"/>
      <c r="F61" s="50"/>
      <c r="H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J61"/>
  <sheetViews>
    <sheetView tabSelected="1" topLeftCell="A34" workbookViewId="0">
      <selection activeCell="D57" sqref="D57"/>
    </sheetView>
  </sheetViews>
  <sheetFormatPr defaultRowHeight="13.5" x14ac:dyDescent="0.25"/>
  <cols>
    <col min="1" max="1" width="27.5703125" style="596" customWidth="1"/>
    <col min="2" max="2" width="20.42578125" style="596" customWidth="1"/>
    <col min="3" max="3" width="31.85546875" style="596" customWidth="1"/>
    <col min="4" max="5" width="25.85546875" style="596" customWidth="1"/>
    <col min="6" max="6" width="25.7109375" style="596" customWidth="1"/>
    <col min="7" max="7" width="23.140625" style="596" customWidth="1"/>
    <col min="8" max="8" width="28.42578125" style="596" customWidth="1"/>
    <col min="9" max="9" width="21.5703125" style="596" customWidth="1"/>
    <col min="10" max="10" width="9.140625" style="596" customWidth="1"/>
    <col min="11" max="16384" width="9.140625" style="44"/>
  </cols>
  <sheetData>
    <row r="14" spans="1:7" ht="15" customHeight="1" x14ac:dyDescent="0.3">
      <c r="A14" s="1"/>
      <c r="C14" s="3"/>
      <c r="G14" s="3"/>
    </row>
    <row r="15" spans="1:7" ht="18.75" customHeight="1" x14ac:dyDescent="0.3">
      <c r="A15" s="663" t="s">
        <v>0</v>
      </c>
      <c r="B15" s="663"/>
      <c r="C15" s="663"/>
      <c r="D15" s="663"/>
      <c r="E15" s="663"/>
      <c r="F15" s="663"/>
    </row>
    <row r="16" spans="1:7" ht="16.5" customHeight="1" x14ac:dyDescent="0.3">
      <c r="A16" s="90" t="s">
        <v>1</v>
      </c>
      <c r="B16" s="59" t="s">
        <v>2</v>
      </c>
    </row>
    <row r="17" spans="1:6" ht="16.5" customHeight="1" x14ac:dyDescent="0.3">
      <c r="A17" s="8" t="s">
        <v>3</v>
      </c>
      <c r="B17" s="8" t="s">
        <v>5</v>
      </c>
      <c r="D17" s="9"/>
      <c r="E17" s="9"/>
      <c r="F17" s="72"/>
    </row>
    <row r="18" spans="1:6" ht="16.5" customHeight="1" x14ac:dyDescent="0.3">
      <c r="A18" s="75" t="s">
        <v>4</v>
      </c>
      <c r="B18" s="8" t="s">
        <v>131</v>
      </c>
      <c r="C18" s="72"/>
      <c r="D18" s="72"/>
      <c r="E18" s="72"/>
      <c r="F18" s="72"/>
    </row>
    <row r="19" spans="1:6" ht="16.5" customHeight="1" x14ac:dyDescent="0.3">
      <c r="A19" s="75" t="s">
        <v>6</v>
      </c>
      <c r="B19" s="12">
        <v>97.21</v>
      </c>
      <c r="C19" s="72"/>
      <c r="D19" s="72"/>
      <c r="E19" s="72"/>
      <c r="F19" s="72"/>
    </row>
    <row r="20" spans="1:6" ht="16.5" customHeight="1" x14ac:dyDescent="0.3">
      <c r="A20" s="8" t="s">
        <v>8</v>
      </c>
      <c r="B20" s="12">
        <v>24.43</v>
      </c>
      <c r="C20" s="72"/>
      <c r="D20" s="72"/>
      <c r="E20" s="72"/>
      <c r="F20" s="72"/>
    </row>
    <row r="21" spans="1:6" ht="16.5" customHeight="1" x14ac:dyDescent="0.3">
      <c r="A21" s="8" t="s">
        <v>10</v>
      </c>
      <c r="B21" s="13">
        <f>24.43/100</f>
        <v>0.24429999999999999</v>
      </c>
      <c r="C21" s="72"/>
      <c r="D21" s="72"/>
      <c r="E21" s="72"/>
      <c r="F21" s="72"/>
    </row>
    <row r="22" spans="1:6" ht="15.75" customHeight="1" x14ac:dyDescent="0.25">
      <c r="A22" s="72"/>
      <c r="B22" s="72"/>
      <c r="C22" s="72"/>
      <c r="D22" s="72"/>
      <c r="E22" s="72"/>
      <c r="F22" s="72"/>
    </row>
    <row r="23" spans="1:6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141</v>
      </c>
      <c r="F23" s="16" t="s">
        <v>17</v>
      </c>
    </row>
    <row r="24" spans="1:6" ht="16.5" customHeight="1" x14ac:dyDescent="0.3">
      <c r="A24" s="17">
        <v>1</v>
      </c>
      <c r="B24" s="18">
        <v>5302715</v>
      </c>
      <c r="C24" s="18">
        <v>615433.18999999994</v>
      </c>
      <c r="D24" s="19">
        <v>1.23</v>
      </c>
      <c r="E24" s="19">
        <v>44.1</v>
      </c>
      <c r="F24" s="20">
        <v>25.35</v>
      </c>
    </row>
    <row r="25" spans="1:6" ht="16.5" customHeight="1" x14ac:dyDescent="0.3">
      <c r="A25" s="17">
        <v>2</v>
      </c>
      <c r="B25" s="18">
        <v>5382984</v>
      </c>
      <c r="C25" s="18">
        <v>618193.13</v>
      </c>
      <c r="D25" s="19">
        <v>1.22</v>
      </c>
      <c r="E25" s="19">
        <v>44.35</v>
      </c>
      <c r="F25" s="19">
        <v>25.35</v>
      </c>
    </row>
    <row r="26" spans="1:6" ht="16.5" customHeight="1" x14ac:dyDescent="0.3">
      <c r="A26" s="17">
        <v>3</v>
      </c>
      <c r="B26" s="18">
        <v>5380316</v>
      </c>
      <c r="C26" s="18">
        <v>617063.56000000006</v>
      </c>
      <c r="D26" s="19">
        <v>1.26</v>
      </c>
      <c r="E26" s="19">
        <v>44.31</v>
      </c>
      <c r="F26" s="19">
        <v>25.35</v>
      </c>
    </row>
    <row r="27" spans="1:6" ht="16.5" customHeight="1" x14ac:dyDescent="0.3">
      <c r="A27" s="17">
        <v>4</v>
      </c>
      <c r="B27" s="18">
        <v>5425217</v>
      </c>
      <c r="C27" s="18">
        <v>617377.63</v>
      </c>
      <c r="D27" s="19">
        <v>1.2</v>
      </c>
      <c r="E27" s="19">
        <v>44.21</v>
      </c>
      <c r="F27" s="19">
        <v>25.36</v>
      </c>
    </row>
    <row r="28" spans="1:6" ht="16.5" customHeight="1" x14ac:dyDescent="0.3">
      <c r="A28" s="17">
        <v>5</v>
      </c>
      <c r="B28" s="18">
        <v>5407944</v>
      </c>
      <c r="C28" s="18">
        <v>617783.81000000006</v>
      </c>
      <c r="D28" s="19">
        <v>1.24</v>
      </c>
      <c r="E28" s="19">
        <v>44.29</v>
      </c>
      <c r="F28" s="19">
        <v>25.35</v>
      </c>
    </row>
    <row r="29" spans="1:6" ht="16.5" customHeight="1" x14ac:dyDescent="0.3">
      <c r="A29" s="17">
        <v>6</v>
      </c>
      <c r="B29" s="21">
        <v>5414846</v>
      </c>
      <c r="C29" s="21">
        <v>614971.75</v>
      </c>
      <c r="D29" s="22">
        <v>1.21</v>
      </c>
      <c r="E29" s="22">
        <v>44.24</v>
      </c>
      <c r="F29" s="22">
        <v>25.36</v>
      </c>
    </row>
    <row r="30" spans="1:6" ht="16.5" customHeight="1" x14ac:dyDescent="0.3">
      <c r="A30" s="23" t="s">
        <v>18</v>
      </c>
      <c r="B30" s="24">
        <f>AVERAGE(B24:B29)</f>
        <v>5385670.333333333</v>
      </c>
      <c r="C30" s="25">
        <f>AVERAGE(C24:C29)</f>
        <v>616803.84499999997</v>
      </c>
      <c r="D30" s="26">
        <f>AVERAGE(D24:D29)</f>
        <v>1.2266666666666668</v>
      </c>
      <c r="E30" s="26">
        <f>AVERAGE(E24:E29)</f>
        <v>44.25</v>
      </c>
      <c r="F30" s="26">
        <f>AVERAGE(F24:F29)</f>
        <v>25.353333333333335</v>
      </c>
    </row>
    <row r="31" spans="1:6" ht="16.5" customHeight="1" x14ac:dyDescent="0.3">
      <c r="A31" s="27" t="s">
        <v>19</v>
      </c>
      <c r="B31" s="28">
        <f>(STDEV(B24:B29)/B30)</f>
        <v>8.2323592513581442E-3</v>
      </c>
      <c r="C31" s="29"/>
      <c r="D31" s="29"/>
      <c r="E31" s="29"/>
      <c r="F31" s="30"/>
    </row>
    <row r="32" spans="1:6" s="596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73"/>
      <c r="F32" s="35"/>
    </row>
    <row r="33" spans="1:6" s="596" customFormat="1" ht="15.75" customHeight="1" x14ac:dyDescent="0.25">
      <c r="A33" s="72"/>
      <c r="B33" s="72"/>
      <c r="C33" s="72"/>
      <c r="D33" s="72"/>
      <c r="E33" s="72"/>
      <c r="F33" s="72"/>
    </row>
    <row r="34" spans="1:6" s="596" customFormat="1" ht="16.5" customHeight="1" x14ac:dyDescent="0.3">
      <c r="A34" s="75" t="s">
        <v>21</v>
      </c>
      <c r="B34" s="40" t="s">
        <v>22</v>
      </c>
      <c r="C34" s="39"/>
      <c r="D34" s="39"/>
      <c r="E34" s="39"/>
      <c r="F34" s="39"/>
    </row>
    <row r="35" spans="1:6" ht="16.5" customHeight="1" x14ac:dyDescent="0.3">
      <c r="A35" s="75"/>
      <c r="B35" s="715" t="s">
        <v>142</v>
      </c>
      <c r="C35" s="39"/>
      <c r="D35" s="39"/>
      <c r="E35" s="39"/>
      <c r="F35" s="39"/>
    </row>
    <row r="36" spans="1:6" ht="16.5" customHeight="1" x14ac:dyDescent="0.3">
      <c r="A36" s="75"/>
      <c r="B36" s="40" t="s">
        <v>24</v>
      </c>
      <c r="C36" s="39"/>
      <c r="D36" s="39"/>
      <c r="E36" s="39"/>
      <c r="F36" s="39"/>
    </row>
    <row r="37" spans="1:6" ht="15.75" customHeight="1" x14ac:dyDescent="0.25">
      <c r="A37" s="72"/>
      <c r="B37" s="72"/>
      <c r="C37" s="72"/>
      <c r="D37" s="72"/>
      <c r="E37" s="72"/>
      <c r="F37" s="72"/>
    </row>
    <row r="38" spans="1:6" ht="16.5" customHeight="1" x14ac:dyDescent="0.3">
      <c r="A38" s="90" t="s">
        <v>1</v>
      </c>
      <c r="B38" s="59" t="s">
        <v>25</v>
      </c>
    </row>
    <row r="39" spans="1:6" ht="16.5" customHeight="1" x14ac:dyDescent="0.3">
      <c r="A39" s="75" t="s">
        <v>4</v>
      </c>
      <c r="B39" s="8" t="s">
        <v>131</v>
      </c>
      <c r="C39" s="72"/>
      <c r="D39" s="72"/>
      <c r="E39" s="72"/>
      <c r="F39" s="72"/>
    </row>
    <row r="40" spans="1:6" ht="16.5" customHeight="1" x14ac:dyDescent="0.3">
      <c r="A40" s="75" t="s">
        <v>6</v>
      </c>
      <c r="B40" s="12">
        <v>97.21</v>
      </c>
      <c r="C40" s="72"/>
      <c r="D40" s="72"/>
      <c r="E40" s="72"/>
      <c r="F40" s="72"/>
    </row>
    <row r="41" spans="1:6" ht="16.5" customHeight="1" x14ac:dyDescent="0.3">
      <c r="A41" s="8" t="s">
        <v>8</v>
      </c>
      <c r="B41" s="12">
        <v>29.16</v>
      </c>
      <c r="C41" s="72"/>
      <c r="D41" s="72"/>
      <c r="E41" s="72"/>
      <c r="F41" s="72"/>
    </row>
    <row r="42" spans="1:6" ht="16.5" customHeight="1" x14ac:dyDescent="0.3">
      <c r="A42" s="8" t="s">
        <v>10</v>
      </c>
      <c r="B42" s="13">
        <f>29.16/50</f>
        <v>0.58320000000000005</v>
      </c>
      <c r="C42" s="72"/>
      <c r="D42" s="72"/>
      <c r="E42" s="72"/>
      <c r="F42" s="72"/>
    </row>
    <row r="43" spans="1:6" ht="15.75" customHeight="1" x14ac:dyDescent="0.25">
      <c r="A43" s="72"/>
      <c r="B43" s="72"/>
      <c r="C43" s="72"/>
      <c r="D43" s="72"/>
      <c r="E43" s="72"/>
      <c r="F43" s="72"/>
    </row>
    <row r="44" spans="1:6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141</v>
      </c>
      <c r="F44" s="16" t="s">
        <v>17</v>
      </c>
    </row>
    <row r="45" spans="1:6" ht="16.5" customHeight="1" x14ac:dyDescent="0.3">
      <c r="A45" s="17">
        <v>1</v>
      </c>
      <c r="B45" s="18">
        <v>2130256</v>
      </c>
      <c r="C45" s="18">
        <v>11494</v>
      </c>
      <c r="D45" s="19">
        <v>1.78</v>
      </c>
      <c r="E45" s="19">
        <v>17.47</v>
      </c>
      <c r="F45" s="20">
        <v>7.99</v>
      </c>
    </row>
    <row r="46" spans="1:6" ht="16.5" customHeight="1" x14ac:dyDescent="0.3">
      <c r="A46" s="17">
        <v>2</v>
      </c>
      <c r="B46" s="18">
        <v>2132109</v>
      </c>
      <c r="C46" s="18">
        <v>11644</v>
      </c>
      <c r="D46" s="19">
        <v>1.78</v>
      </c>
      <c r="E46" s="19">
        <v>17.489999999999998</v>
      </c>
      <c r="F46" s="19">
        <v>7.99</v>
      </c>
    </row>
    <row r="47" spans="1:6" ht="16.5" customHeight="1" x14ac:dyDescent="0.3">
      <c r="A47" s="17">
        <v>3</v>
      </c>
      <c r="B47" s="18">
        <v>2132878</v>
      </c>
      <c r="C47" s="18">
        <v>11584</v>
      </c>
      <c r="D47" s="19">
        <v>1.77</v>
      </c>
      <c r="E47" s="19">
        <v>17.36</v>
      </c>
      <c r="F47" s="19">
        <v>7.99</v>
      </c>
    </row>
    <row r="48" spans="1:6" ht="16.5" customHeight="1" x14ac:dyDescent="0.3">
      <c r="A48" s="17">
        <v>4</v>
      </c>
      <c r="B48" s="18">
        <v>2131232</v>
      </c>
      <c r="C48" s="18">
        <v>11712</v>
      </c>
      <c r="D48" s="19">
        <v>1.79</v>
      </c>
      <c r="E48" s="19">
        <v>17.47</v>
      </c>
      <c r="F48" s="19">
        <v>7.99</v>
      </c>
    </row>
    <row r="49" spans="1:8" ht="16.5" customHeight="1" x14ac:dyDescent="0.3">
      <c r="A49" s="17">
        <v>5</v>
      </c>
      <c r="B49" s="18">
        <v>2133554</v>
      </c>
      <c r="C49" s="18">
        <v>11477</v>
      </c>
      <c r="D49" s="19">
        <v>1.75</v>
      </c>
      <c r="E49" s="19">
        <v>17.399999999999999</v>
      </c>
      <c r="F49" s="19">
        <v>7.99</v>
      </c>
    </row>
    <row r="50" spans="1:8" ht="16.5" customHeight="1" x14ac:dyDescent="0.3">
      <c r="A50" s="17">
        <v>6</v>
      </c>
      <c r="B50" s="21">
        <v>2132786</v>
      </c>
      <c r="C50" s="21">
        <v>11665</v>
      </c>
      <c r="D50" s="22">
        <v>1.78</v>
      </c>
      <c r="E50" s="22">
        <v>17.41</v>
      </c>
      <c r="F50" s="22">
        <v>7.99</v>
      </c>
    </row>
    <row r="51" spans="1:8" ht="16.5" customHeight="1" x14ac:dyDescent="0.3">
      <c r="A51" s="23" t="s">
        <v>18</v>
      </c>
      <c r="B51" s="24">
        <f>AVERAGE(B45:B50)</f>
        <v>2132135.8333333335</v>
      </c>
      <c r="C51" s="25">
        <f>AVERAGE(C45:C50)</f>
        <v>11596</v>
      </c>
      <c r="D51" s="26">
        <f>AVERAGE(D45:D50)</f>
        <v>1.7750000000000001</v>
      </c>
      <c r="E51" s="26">
        <f>AVERAGE(E45:E50)</f>
        <v>17.433333333333334</v>
      </c>
      <c r="F51" s="26">
        <f>AVERAGE(F45:F50)</f>
        <v>7.9900000000000011</v>
      </c>
    </row>
    <row r="52" spans="1:8" ht="16.5" customHeight="1" x14ac:dyDescent="0.3">
      <c r="A52" s="27" t="s">
        <v>19</v>
      </c>
      <c r="B52" s="28">
        <f>(STDEV(B45:B50)/B51)</f>
        <v>5.6811168488857418E-4</v>
      </c>
      <c r="C52" s="29"/>
      <c r="D52" s="29"/>
      <c r="E52" s="29"/>
      <c r="F52" s="30"/>
    </row>
    <row r="53" spans="1:8" s="596" customFormat="1" ht="16.5" customHeight="1" x14ac:dyDescent="0.3">
      <c r="A53" s="31" t="s">
        <v>20</v>
      </c>
      <c r="B53" s="32">
        <f>COUNT(B45:B50)</f>
        <v>6</v>
      </c>
      <c r="C53" s="33"/>
      <c r="D53" s="73"/>
      <c r="E53" s="73"/>
      <c r="F53" s="35"/>
    </row>
    <row r="54" spans="1:8" s="596" customFormat="1" ht="15.75" customHeight="1" x14ac:dyDescent="0.25">
      <c r="A54" s="72"/>
      <c r="B54" s="72"/>
      <c r="C54" s="72"/>
      <c r="D54" s="72"/>
      <c r="E54" s="72"/>
      <c r="F54" s="72"/>
    </row>
    <row r="55" spans="1:8" s="596" customFormat="1" ht="16.5" customHeight="1" x14ac:dyDescent="0.3">
      <c r="A55" s="75" t="s">
        <v>21</v>
      </c>
      <c r="B55" s="40" t="s">
        <v>22</v>
      </c>
      <c r="C55" s="39"/>
      <c r="D55" s="39"/>
      <c r="E55" s="39"/>
      <c r="F55" s="39"/>
    </row>
    <row r="56" spans="1:8" ht="16.5" customHeight="1" x14ac:dyDescent="0.3">
      <c r="A56" s="75"/>
      <c r="B56" s="40" t="s">
        <v>23</v>
      </c>
      <c r="C56" s="39"/>
      <c r="D56" s="39"/>
      <c r="E56" s="39"/>
      <c r="F56" s="39"/>
    </row>
    <row r="57" spans="1:8" ht="16.5" customHeight="1" x14ac:dyDescent="0.3">
      <c r="A57" s="75"/>
      <c r="B57" s="40" t="s">
        <v>24</v>
      </c>
      <c r="C57" s="39"/>
      <c r="D57" s="39"/>
      <c r="E57" s="39"/>
      <c r="F57" s="39"/>
    </row>
    <row r="58" spans="1:8" ht="14.25" customHeight="1" thickBot="1" x14ac:dyDescent="0.3">
      <c r="A58" s="41"/>
      <c r="B58" s="526"/>
      <c r="D58" s="43"/>
      <c r="E58" s="714"/>
      <c r="G58" s="44"/>
      <c r="H58" s="44"/>
    </row>
    <row r="59" spans="1:8" ht="15" customHeight="1" x14ac:dyDescent="0.3">
      <c r="B59" s="664" t="s">
        <v>26</v>
      </c>
      <c r="C59" s="664"/>
      <c r="F59" s="662" t="s">
        <v>27</v>
      </c>
      <c r="G59" s="46"/>
      <c r="H59" s="662" t="s">
        <v>28</v>
      </c>
    </row>
    <row r="60" spans="1:8" ht="15" customHeight="1" x14ac:dyDescent="0.3">
      <c r="A60" s="47" t="s">
        <v>29</v>
      </c>
      <c r="B60" s="49" t="s">
        <v>138</v>
      </c>
      <c r="C60" s="49"/>
      <c r="F60" s="49" t="s">
        <v>139</v>
      </c>
      <c r="H60" s="49"/>
    </row>
    <row r="61" spans="1:8" ht="15" customHeight="1" x14ac:dyDescent="0.3">
      <c r="A61" s="47" t="s">
        <v>30</v>
      </c>
      <c r="B61" s="50"/>
      <c r="C61" s="50"/>
      <c r="F61" s="50"/>
      <c r="H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workbookViewId="0">
      <selection activeCell="G19" sqref="G19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668" t="s">
        <v>31</v>
      </c>
      <c r="B11" s="669"/>
      <c r="C11" s="669"/>
      <c r="D11" s="669"/>
      <c r="E11" s="669"/>
      <c r="F11" s="670"/>
      <c r="G11" s="91"/>
    </row>
    <row r="12" spans="1:7" ht="16.5" customHeight="1" x14ac:dyDescent="0.3">
      <c r="A12" s="667" t="s">
        <v>32</v>
      </c>
      <c r="B12" s="667"/>
      <c r="C12" s="667"/>
      <c r="D12" s="667"/>
      <c r="E12" s="667"/>
      <c r="F12" s="667"/>
      <c r="G12" s="90"/>
    </row>
    <row r="14" spans="1:7" ht="16.5" customHeight="1" x14ac:dyDescent="0.3">
      <c r="A14" s="672" t="s">
        <v>33</v>
      </c>
      <c r="B14" s="672"/>
      <c r="C14" s="60" t="s">
        <v>5</v>
      </c>
    </row>
    <row r="15" spans="1:7" ht="16.5" customHeight="1" x14ac:dyDescent="0.3">
      <c r="A15" s="672" t="s">
        <v>34</v>
      </c>
      <c r="B15" s="672"/>
      <c r="C15" s="60" t="s">
        <v>7</v>
      </c>
    </row>
    <row r="16" spans="1:7" ht="16.5" customHeight="1" x14ac:dyDescent="0.3">
      <c r="A16" s="672" t="s">
        <v>35</v>
      </c>
      <c r="B16" s="672"/>
      <c r="C16" s="60" t="s">
        <v>9</v>
      </c>
    </row>
    <row r="17" spans="1:5" ht="16.5" customHeight="1" x14ac:dyDescent="0.3">
      <c r="A17" s="672" t="s">
        <v>36</v>
      </c>
      <c r="B17" s="672"/>
      <c r="C17" s="60" t="s">
        <v>11</v>
      </c>
    </row>
    <row r="18" spans="1:5" ht="16.5" customHeight="1" x14ac:dyDescent="0.3">
      <c r="A18" s="672" t="s">
        <v>37</v>
      </c>
      <c r="B18" s="672"/>
      <c r="C18" s="97" t="s">
        <v>12</v>
      </c>
    </row>
    <row r="19" spans="1:5" ht="16.5" customHeight="1" x14ac:dyDescent="0.3">
      <c r="A19" s="672" t="s">
        <v>38</v>
      </c>
      <c r="B19" s="672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667" t="s">
        <v>1</v>
      </c>
      <c r="B21" s="667"/>
      <c r="C21" s="59" t="s">
        <v>39</v>
      </c>
      <c r="D21" s="66"/>
    </row>
    <row r="22" spans="1:5" ht="15.75" customHeight="1" x14ac:dyDescent="0.3">
      <c r="A22" s="671"/>
      <c r="B22" s="671"/>
      <c r="C22" s="57"/>
      <c r="D22" s="671"/>
      <c r="E22" s="671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1889.11</v>
      </c>
      <c r="D24" s="87">
        <f t="shared" ref="D24:D43" si="0">(C24-$C$46)/$C$46</f>
        <v>-6.3311796329213492E-3</v>
      </c>
      <c r="E24" s="53"/>
    </row>
    <row r="25" spans="1:5" ht="15.75" customHeight="1" x14ac:dyDescent="0.3">
      <c r="C25" s="95">
        <v>1942.21</v>
      </c>
      <c r="D25" s="88">
        <f t="shared" si="0"/>
        <v>2.1599334927634689E-2</v>
      </c>
      <c r="E25" s="53"/>
    </row>
    <row r="26" spans="1:5" ht="15.75" customHeight="1" x14ac:dyDescent="0.3">
      <c r="C26" s="95">
        <v>1927.81</v>
      </c>
      <c r="D26" s="88">
        <f t="shared" si="0"/>
        <v>1.4024958097653362E-2</v>
      </c>
      <c r="E26" s="53"/>
    </row>
    <row r="27" spans="1:5" ht="15.75" customHeight="1" x14ac:dyDescent="0.3">
      <c r="C27" s="95">
        <v>1875.29</v>
      </c>
      <c r="D27" s="88">
        <f t="shared" si="0"/>
        <v>-1.3600477396139459E-2</v>
      </c>
      <c r="E27" s="53"/>
    </row>
    <row r="28" spans="1:5" ht="15.75" customHeight="1" x14ac:dyDescent="0.3">
      <c r="C28" s="95">
        <v>1879.73</v>
      </c>
      <c r="D28" s="88">
        <f t="shared" si="0"/>
        <v>-1.1265044540228537E-2</v>
      </c>
      <c r="E28" s="53"/>
    </row>
    <row r="29" spans="1:5" ht="15.75" customHeight="1" x14ac:dyDescent="0.3">
      <c r="C29" s="95">
        <v>1891.61</v>
      </c>
      <c r="D29" s="88">
        <f t="shared" si="0"/>
        <v>-5.016183655494044E-3</v>
      </c>
      <c r="E29" s="53"/>
    </row>
    <row r="30" spans="1:5" ht="15.75" customHeight="1" x14ac:dyDescent="0.3">
      <c r="C30" s="95">
        <v>1897.49</v>
      </c>
      <c r="D30" s="88">
        <f t="shared" si="0"/>
        <v>-1.9233131165849644E-3</v>
      </c>
      <c r="E30" s="53"/>
    </row>
    <row r="31" spans="1:5" ht="15.75" customHeight="1" x14ac:dyDescent="0.3">
      <c r="C31" s="95">
        <v>1925.49</v>
      </c>
      <c r="D31" s="88">
        <f t="shared" si="0"/>
        <v>1.2804641830600856E-2</v>
      </c>
      <c r="E31" s="53"/>
    </row>
    <row r="32" spans="1:5" ht="15.75" customHeight="1" x14ac:dyDescent="0.3">
      <c r="C32" s="95">
        <v>1928.75</v>
      </c>
      <c r="D32" s="88">
        <f t="shared" si="0"/>
        <v>1.4519396585166057E-2</v>
      </c>
      <c r="E32" s="53"/>
    </row>
    <row r="33" spans="1:7" ht="15.75" customHeight="1" x14ac:dyDescent="0.3">
      <c r="C33" s="95">
        <v>1936.09</v>
      </c>
      <c r="D33" s="88">
        <f t="shared" si="0"/>
        <v>1.8380224774892581E-2</v>
      </c>
      <c r="E33" s="53"/>
    </row>
    <row r="34" spans="1:7" ht="15.75" customHeight="1" x14ac:dyDescent="0.3">
      <c r="C34" s="95">
        <v>1904.39</v>
      </c>
      <c r="D34" s="88">
        <f t="shared" si="0"/>
        <v>1.7060757811144462E-3</v>
      </c>
      <c r="E34" s="53"/>
    </row>
    <row r="35" spans="1:7" ht="15.75" customHeight="1" x14ac:dyDescent="0.3">
      <c r="C35" s="95">
        <v>1907.19</v>
      </c>
      <c r="D35" s="88">
        <f t="shared" si="0"/>
        <v>3.1788712758330042E-3</v>
      </c>
      <c r="E35" s="53"/>
    </row>
    <row r="36" spans="1:7" ht="15.75" customHeight="1" x14ac:dyDescent="0.3">
      <c r="C36" s="95">
        <v>1873.65</v>
      </c>
      <c r="D36" s="88">
        <f t="shared" si="0"/>
        <v>-1.4463114757331705E-2</v>
      </c>
      <c r="E36" s="53"/>
    </row>
    <row r="37" spans="1:7" ht="15.75" customHeight="1" x14ac:dyDescent="0.3">
      <c r="C37" s="95">
        <v>1897.01</v>
      </c>
      <c r="D37" s="88">
        <f t="shared" si="0"/>
        <v>-2.1757923442510168E-3</v>
      </c>
      <c r="E37" s="53"/>
    </row>
    <row r="38" spans="1:7" ht="15.75" customHeight="1" x14ac:dyDescent="0.3">
      <c r="C38" s="95">
        <v>1918.21</v>
      </c>
      <c r="D38" s="88">
        <f t="shared" si="0"/>
        <v>8.9753735443325565E-3</v>
      </c>
      <c r="E38" s="53"/>
    </row>
    <row r="39" spans="1:7" ht="15.75" customHeight="1" x14ac:dyDescent="0.3">
      <c r="C39" s="95">
        <v>1909.29</v>
      </c>
      <c r="D39" s="88">
        <f t="shared" si="0"/>
        <v>4.2834678968718927E-3</v>
      </c>
      <c r="E39" s="53"/>
    </row>
    <row r="40" spans="1:7" ht="15.75" customHeight="1" x14ac:dyDescent="0.3">
      <c r="C40" s="95">
        <v>1845.31</v>
      </c>
      <c r="D40" s="88">
        <f t="shared" si="0"/>
        <v>-2.9369909157447714E-2</v>
      </c>
      <c r="E40" s="53"/>
    </row>
    <row r="41" spans="1:7" ht="15.75" customHeight="1" x14ac:dyDescent="0.3">
      <c r="C41" s="95">
        <v>1890.2</v>
      </c>
      <c r="D41" s="88">
        <f t="shared" si="0"/>
        <v>-5.7578413867629677E-3</v>
      </c>
      <c r="E41" s="53"/>
    </row>
    <row r="42" spans="1:7" ht="15.75" customHeight="1" x14ac:dyDescent="0.3">
      <c r="C42" s="95">
        <v>1908.4</v>
      </c>
      <c r="D42" s="88">
        <f t="shared" si="0"/>
        <v>3.815329328907839E-3</v>
      </c>
      <c r="E42" s="53"/>
    </row>
    <row r="43" spans="1:7" ht="16.5" customHeight="1" x14ac:dyDescent="0.3">
      <c r="C43" s="96">
        <v>1875.7</v>
      </c>
      <c r="D43" s="89">
        <f t="shared" si="0"/>
        <v>-1.3384818055841338E-2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38022.929999999993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1901.1464999999996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665">
        <f>C46</f>
        <v>1901.1464999999996</v>
      </c>
      <c r="C49" s="93">
        <f>-IF(C46&lt;=80,10%,IF(C46&lt;250,7.5%,5%))</f>
        <v>-0.05</v>
      </c>
      <c r="D49" s="81">
        <f>IF(C46&lt;=80,C46*0.9,IF(C46&lt;250,C46*0.925,C46*0.95))</f>
        <v>1806.0891749999996</v>
      </c>
    </row>
    <row r="50" spans="1:6" ht="17.25" customHeight="1" x14ac:dyDescent="0.3">
      <c r="B50" s="666"/>
      <c r="C50" s="94">
        <f>IF(C46&lt;=80, 10%, IF(C46&lt;250, 7.5%, 5%))</f>
        <v>0.05</v>
      </c>
      <c r="D50" s="81">
        <f>IF(C46&lt;=80, C46*1.1, IF(C46&lt;250, C46*1.075, C46*1.05))</f>
        <v>1996.2038249999996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57" orientation="portrait" r:id="rId1"/>
  <headerFooter alignWithMargins="0"/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activeCell="B23" sqref="B2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73" t="s">
        <v>45</v>
      </c>
      <c r="B1" s="673"/>
      <c r="C1" s="673"/>
      <c r="D1" s="673"/>
      <c r="E1" s="673"/>
      <c r="F1" s="673"/>
      <c r="G1" s="673"/>
      <c r="H1" s="673"/>
      <c r="I1" s="673"/>
    </row>
    <row r="2" spans="1:9" ht="18.75" customHeight="1" x14ac:dyDescent="0.25">
      <c r="A2" s="673"/>
      <c r="B2" s="673"/>
      <c r="C2" s="673"/>
      <c r="D2" s="673"/>
      <c r="E2" s="673"/>
      <c r="F2" s="673"/>
      <c r="G2" s="673"/>
      <c r="H2" s="673"/>
      <c r="I2" s="673"/>
    </row>
    <row r="3" spans="1:9" ht="18.75" customHeight="1" x14ac:dyDescent="0.25">
      <c r="A3" s="673"/>
      <c r="B3" s="673"/>
      <c r="C3" s="673"/>
      <c r="D3" s="673"/>
      <c r="E3" s="673"/>
      <c r="F3" s="673"/>
      <c r="G3" s="673"/>
      <c r="H3" s="673"/>
      <c r="I3" s="673"/>
    </row>
    <row r="4" spans="1:9" ht="18.75" customHeight="1" x14ac:dyDescent="0.25">
      <c r="A4" s="673"/>
      <c r="B4" s="673"/>
      <c r="C4" s="673"/>
      <c r="D4" s="673"/>
      <c r="E4" s="673"/>
      <c r="F4" s="673"/>
      <c r="G4" s="673"/>
      <c r="H4" s="673"/>
      <c r="I4" s="673"/>
    </row>
    <row r="5" spans="1:9" ht="18.75" customHeight="1" x14ac:dyDescent="0.25">
      <c r="A5" s="673"/>
      <c r="B5" s="673"/>
      <c r="C5" s="673"/>
      <c r="D5" s="673"/>
      <c r="E5" s="673"/>
      <c r="F5" s="673"/>
      <c r="G5" s="673"/>
      <c r="H5" s="673"/>
      <c r="I5" s="673"/>
    </row>
    <row r="6" spans="1:9" ht="18.75" customHeight="1" x14ac:dyDescent="0.25">
      <c r="A6" s="673"/>
      <c r="B6" s="673"/>
      <c r="C6" s="673"/>
      <c r="D6" s="673"/>
      <c r="E6" s="673"/>
      <c r="F6" s="673"/>
      <c r="G6" s="673"/>
      <c r="H6" s="673"/>
      <c r="I6" s="673"/>
    </row>
    <row r="7" spans="1:9" ht="18.75" customHeight="1" x14ac:dyDescent="0.25">
      <c r="A7" s="673"/>
      <c r="B7" s="673"/>
      <c r="C7" s="673"/>
      <c r="D7" s="673"/>
      <c r="E7" s="673"/>
      <c r="F7" s="673"/>
      <c r="G7" s="673"/>
      <c r="H7" s="673"/>
      <c r="I7" s="673"/>
    </row>
    <row r="8" spans="1:9" x14ac:dyDescent="0.25">
      <c r="A8" s="674" t="s">
        <v>46</v>
      </c>
      <c r="B8" s="674"/>
      <c r="C8" s="674"/>
      <c r="D8" s="674"/>
      <c r="E8" s="674"/>
      <c r="F8" s="674"/>
      <c r="G8" s="674"/>
      <c r="H8" s="674"/>
      <c r="I8" s="674"/>
    </row>
    <row r="9" spans="1:9" x14ac:dyDescent="0.25">
      <c r="A9" s="674"/>
      <c r="B9" s="674"/>
      <c r="C9" s="674"/>
      <c r="D9" s="674"/>
      <c r="E9" s="674"/>
      <c r="F9" s="674"/>
      <c r="G9" s="674"/>
      <c r="H9" s="674"/>
      <c r="I9" s="674"/>
    </row>
    <row r="10" spans="1:9" x14ac:dyDescent="0.25">
      <c r="A10" s="674"/>
      <c r="B10" s="674"/>
      <c r="C10" s="674"/>
      <c r="D10" s="674"/>
      <c r="E10" s="674"/>
      <c r="F10" s="674"/>
      <c r="G10" s="674"/>
      <c r="H10" s="674"/>
      <c r="I10" s="674"/>
    </row>
    <row r="11" spans="1:9" x14ac:dyDescent="0.25">
      <c r="A11" s="674"/>
      <c r="B11" s="674"/>
      <c r="C11" s="674"/>
      <c r="D11" s="674"/>
      <c r="E11" s="674"/>
      <c r="F11" s="674"/>
      <c r="G11" s="674"/>
      <c r="H11" s="674"/>
      <c r="I11" s="674"/>
    </row>
    <row r="12" spans="1:9" x14ac:dyDescent="0.25">
      <c r="A12" s="674"/>
      <c r="B12" s="674"/>
      <c r="C12" s="674"/>
      <c r="D12" s="674"/>
      <c r="E12" s="674"/>
      <c r="F12" s="674"/>
      <c r="G12" s="674"/>
      <c r="H12" s="674"/>
      <c r="I12" s="674"/>
    </row>
    <row r="13" spans="1:9" x14ac:dyDescent="0.25">
      <c r="A13" s="674"/>
      <c r="B13" s="674"/>
      <c r="C13" s="674"/>
      <c r="D13" s="674"/>
      <c r="E13" s="674"/>
      <c r="F13" s="674"/>
      <c r="G13" s="674"/>
      <c r="H13" s="674"/>
      <c r="I13" s="674"/>
    </row>
    <row r="14" spans="1:9" x14ac:dyDescent="0.25">
      <c r="A14" s="674"/>
      <c r="B14" s="674"/>
      <c r="C14" s="674"/>
      <c r="D14" s="674"/>
      <c r="E14" s="674"/>
      <c r="F14" s="674"/>
      <c r="G14" s="674"/>
      <c r="H14" s="674"/>
      <c r="I14" s="674"/>
    </row>
    <row r="15" spans="1:9" ht="19.5" customHeight="1" x14ac:dyDescent="0.3">
      <c r="A15" s="98"/>
    </row>
    <row r="16" spans="1:9" ht="19.5" customHeight="1" x14ac:dyDescent="0.3">
      <c r="A16" s="706" t="s">
        <v>31</v>
      </c>
      <c r="B16" s="707"/>
      <c r="C16" s="707"/>
      <c r="D16" s="707"/>
      <c r="E16" s="707"/>
      <c r="F16" s="707"/>
      <c r="G16" s="707"/>
      <c r="H16" s="708"/>
    </row>
    <row r="17" spans="1:14" ht="20.25" customHeight="1" x14ac:dyDescent="0.25">
      <c r="A17" s="709" t="s">
        <v>47</v>
      </c>
      <c r="B17" s="709"/>
      <c r="C17" s="709"/>
      <c r="D17" s="709"/>
      <c r="E17" s="709"/>
      <c r="F17" s="709"/>
      <c r="G17" s="709"/>
      <c r="H17" s="709"/>
    </row>
    <row r="18" spans="1:14" ht="26.25" customHeight="1" x14ac:dyDescent="0.4">
      <c r="A18" s="100" t="s">
        <v>33</v>
      </c>
      <c r="B18" s="705" t="s">
        <v>5</v>
      </c>
      <c r="C18" s="705"/>
      <c r="D18" s="246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55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710" t="s">
        <v>135</v>
      </c>
      <c r="C20" s="710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710" t="s">
        <v>11</v>
      </c>
      <c r="C21" s="710"/>
      <c r="D21" s="710"/>
      <c r="E21" s="710"/>
      <c r="F21" s="710"/>
      <c r="G21" s="710"/>
      <c r="H21" s="710"/>
      <c r="I21" s="104"/>
    </row>
    <row r="22" spans="1:14" ht="26.25" customHeight="1" x14ac:dyDescent="0.4">
      <c r="A22" s="100" t="s">
        <v>37</v>
      </c>
      <c r="B22" s="105">
        <v>43039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>
        <v>43014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705" t="s">
        <v>135</v>
      </c>
      <c r="C26" s="705"/>
    </row>
    <row r="27" spans="1:14" ht="26.25" customHeight="1" x14ac:dyDescent="0.4">
      <c r="A27" s="109" t="s">
        <v>48</v>
      </c>
      <c r="B27" s="711" t="s">
        <v>136</v>
      </c>
      <c r="C27" s="711"/>
    </row>
    <row r="28" spans="1:14" ht="27" customHeight="1" x14ac:dyDescent="0.4">
      <c r="A28" s="109" t="s">
        <v>6</v>
      </c>
      <c r="B28" s="110">
        <v>99.39</v>
      </c>
    </row>
    <row r="29" spans="1:14" s="14" customFormat="1" ht="27" customHeight="1" x14ac:dyDescent="0.4">
      <c r="A29" s="109" t="s">
        <v>49</v>
      </c>
      <c r="B29" s="111">
        <v>0</v>
      </c>
      <c r="C29" s="681" t="s">
        <v>50</v>
      </c>
      <c r="D29" s="682"/>
      <c r="E29" s="682"/>
      <c r="F29" s="682"/>
      <c r="G29" s="683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99.39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684" t="s">
        <v>53</v>
      </c>
      <c r="D31" s="685"/>
      <c r="E31" s="685"/>
      <c r="F31" s="685"/>
      <c r="G31" s="685"/>
      <c r="H31" s="686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684" t="s">
        <v>55</v>
      </c>
      <c r="D32" s="685"/>
      <c r="E32" s="685"/>
      <c r="F32" s="685"/>
      <c r="G32" s="685"/>
      <c r="H32" s="686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100</v>
      </c>
      <c r="C36" s="99"/>
      <c r="D36" s="687" t="s">
        <v>59</v>
      </c>
      <c r="E36" s="712"/>
      <c r="F36" s="687" t="s">
        <v>60</v>
      </c>
      <c r="G36" s="688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</v>
      </c>
      <c r="C38" s="131">
        <v>1</v>
      </c>
      <c r="D38" s="132">
        <v>25020716</v>
      </c>
      <c r="E38" s="133">
        <f>IF(ISBLANK(D38),"-",$D$48/$D$45*D38)</f>
        <v>25111500.351646293</v>
      </c>
      <c r="F38" s="132">
        <v>27155163</v>
      </c>
      <c r="G38" s="134">
        <f>IF(ISBLANK(F38),"-",$D$48/$F$45*F38)</f>
        <v>24196451.193609431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24966397</v>
      </c>
      <c r="E39" s="138">
        <f>IF(ISBLANK(D39),"-",$D$48/$D$45*D39)</f>
        <v>25056984.262354478</v>
      </c>
      <c r="F39" s="137">
        <v>27050814</v>
      </c>
      <c r="G39" s="139">
        <f>IF(ISBLANK(F39),"-",$D$48/$F$45*F39)</f>
        <v>24103471.619684502</v>
      </c>
      <c r="I39" s="689">
        <f>ABS((F43/D43*D42)-F42)/D42</f>
        <v>3.4871059429541107E-2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24846492</v>
      </c>
      <c r="E40" s="138">
        <f>IF(ISBLANK(D40),"-",$D$48/$D$45*D40)</f>
        <v>24936644.202954736</v>
      </c>
      <c r="F40" s="137">
        <v>27473386</v>
      </c>
      <c r="G40" s="139">
        <f>IF(ISBLANK(F40),"-",$D$48/$F$45*F40)</f>
        <v>24480001.960297298</v>
      </c>
      <c r="I40" s="689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24944535</v>
      </c>
      <c r="E42" s="148">
        <f>AVERAGE(E38:E41)</f>
        <v>25035042.938985169</v>
      </c>
      <c r="F42" s="147">
        <f>AVERAGE(F38:F41)</f>
        <v>27226454.333333332</v>
      </c>
      <c r="G42" s="149">
        <f>AVERAGE(G38:G41)</f>
        <v>24259974.924530413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12.03</v>
      </c>
      <c r="E43" s="140"/>
      <c r="F43" s="152">
        <v>13.55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12.03</v>
      </c>
      <c r="E44" s="155"/>
      <c r="F44" s="154">
        <f>F43*$B$34</f>
        <v>13.55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100</v>
      </c>
      <c r="C45" s="153" t="s">
        <v>77</v>
      </c>
      <c r="D45" s="157">
        <f>D44*$B$30/100</f>
        <v>11.956617</v>
      </c>
      <c r="E45" s="158"/>
      <c r="F45" s="157">
        <f>F44*$B$30/100</f>
        <v>13.467345</v>
      </c>
      <c r="H45" s="150"/>
    </row>
    <row r="46" spans="1:14" ht="19.5" customHeight="1" x14ac:dyDescent="0.3">
      <c r="A46" s="675" t="s">
        <v>78</v>
      </c>
      <c r="B46" s="676"/>
      <c r="C46" s="153" t="s">
        <v>79</v>
      </c>
      <c r="D46" s="159">
        <f>D45/$B$45</f>
        <v>0.11956617</v>
      </c>
      <c r="E46" s="160"/>
      <c r="F46" s="161">
        <f>F45/$B$45</f>
        <v>0.13467345</v>
      </c>
      <c r="H46" s="150"/>
    </row>
    <row r="47" spans="1:14" ht="27" customHeight="1" x14ac:dyDescent="0.4">
      <c r="A47" s="677"/>
      <c r="B47" s="678"/>
      <c r="C47" s="162" t="s">
        <v>80</v>
      </c>
      <c r="D47" s="163">
        <v>0.12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12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12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24647508.931757789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1.8090272503764028E-2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film coated tablet contains: Tenofovir disoproxil fumarate 300 mg, Lamivudine USP 300 mg and Efavirenz USP 600 mg.</v>
      </c>
    </row>
    <row r="56" spans="1:12" ht="26.25" customHeight="1" x14ac:dyDescent="0.4">
      <c r="A56" s="177" t="s">
        <v>87</v>
      </c>
      <c r="B56" s="178">
        <v>300</v>
      </c>
      <c r="C56" s="99" t="str">
        <f>B20</f>
        <v xml:space="preserve"> Lamivudine </v>
      </c>
      <c r="H56" s="179"/>
    </row>
    <row r="57" spans="1:12" ht="18.75" x14ac:dyDescent="0.3">
      <c r="A57" s="176" t="s">
        <v>88</v>
      </c>
      <c r="B57" s="247">
        <f>Uniformity!C46</f>
        <v>1901.1464999999996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200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4</v>
      </c>
      <c r="C60" s="692" t="s">
        <v>94</v>
      </c>
      <c r="D60" s="695">
        <v>1898.46</v>
      </c>
      <c r="E60" s="182">
        <v>1</v>
      </c>
      <c r="F60" s="183">
        <v>23744037</v>
      </c>
      <c r="G60" s="248">
        <f>IF(ISBLANK(F60),"-",(F60/$D$50*$D$47*$B$68)*($B$57/$D$60))</f>
        <v>289.41225401145721</v>
      </c>
      <c r="H60" s="266">
        <f t="shared" ref="H60:H71" si="0">IF(ISBLANK(F60),"-",(G60/$B$56)*100)</f>
        <v>96.470751337152407</v>
      </c>
      <c r="L60" s="112"/>
    </row>
    <row r="61" spans="1:12" s="14" customFormat="1" ht="26.25" customHeight="1" x14ac:dyDescent="0.4">
      <c r="A61" s="124" t="s">
        <v>95</v>
      </c>
      <c r="B61" s="125">
        <v>50</v>
      </c>
      <c r="C61" s="693"/>
      <c r="D61" s="696"/>
      <c r="E61" s="184">
        <v>2</v>
      </c>
      <c r="F61" s="137">
        <v>23985852</v>
      </c>
      <c r="G61" s="249">
        <f>IF(ISBLANK(F61),"-",(F61/$D$50*$D$47*$B$68)*($B$57/$D$60))</f>
        <v>292.35969821413346</v>
      </c>
      <c r="H61" s="267">
        <f t="shared" si="0"/>
        <v>97.453232738044477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693"/>
      <c r="D62" s="696"/>
      <c r="E62" s="184">
        <v>3</v>
      </c>
      <c r="F62" s="185">
        <v>23316643</v>
      </c>
      <c r="G62" s="249">
        <f>IF(ISBLANK(F62),"-",(F62/$D$50*$D$47*$B$68)*($B$57/$D$60))</f>
        <v>284.20281717933921</v>
      </c>
      <c r="H62" s="267">
        <f t="shared" si="0"/>
        <v>94.734272393113073</v>
      </c>
      <c r="L62" s="112"/>
    </row>
    <row r="63" spans="1:12" ht="27" customHeight="1" x14ac:dyDescent="0.4">
      <c r="A63" s="124" t="s">
        <v>97</v>
      </c>
      <c r="B63" s="125">
        <v>1</v>
      </c>
      <c r="C63" s="702"/>
      <c r="D63" s="697"/>
      <c r="E63" s="186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692" t="s">
        <v>99</v>
      </c>
      <c r="D64" s="695">
        <v>1908.95</v>
      </c>
      <c r="E64" s="182">
        <v>1</v>
      </c>
      <c r="F64" s="183">
        <v>24395671</v>
      </c>
      <c r="G64" s="248">
        <f>IF(ISBLANK(F64),"-",(F64/$D$50*$D$47*$B$68)*($B$57/$D$64))</f>
        <v>295.720901121998</v>
      </c>
      <c r="H64" s="266">
        <f t="shared" si="0"/>
        <v>98.573633707332661</v>
      </c>
    </row>
    <row r="65" spans="1:8" ht="26.25" customHeight="1" x14ac:dyDescent="0.4">
      <c r="A65" s="124" t="s">
        <v>100</v>
      </c>
      <c r="B65" s="125">
        <v>1</v>
      </c>
      <c r="C65" s="693"/>
      <c r="D65" s="696"/>
      <c r="E65" s="184">
        <v>2</v>
      </c>
      <c r="F65" s="137">
        <v>24387441</v>
      </c>
      <c r="G65" s="249">
        <f>IF(ISBLANK(F65),"-",(F65/$D$50*$D$47*$B$68)*($B$57/$D$64))</f>
        <v>295.62113821667617</v>
      </c>
      <c r="H65" s="267">
        <f t="shared" si="0"/>
        <v>98.540379405558724</v>
      </c>
    </row>
    <row r="66" spans="1:8" ht="26.25" customHeight="1" x14ac:dyDescent="0.4">
      <c r="A66" s="124" t="s">
        <v>101</v>
      </c>
      <c r="B66" s="125">
        <v>1</v>
      </c>
      <c r="C66" s="693"/>
      <c r="D66" s="696"/>
      <c r="E66" s="184">
        <v>3</v>
      </c>
      <c r="F66" s="137">
        <v>24433739</v>
      </c>
      <c r="G66" s="249">
        <f>IF(ISBLANK(F66),"-",(F66/$D$50*$D$47*$B$68)*($B$57/$D$64))</f>
        <v>296.18235607701484</v>
      </c>
      <c r="H66" s="267">
        <f t="shared" si="0"/>
        <v>98.72745202567161</v>
      </c>
    </row>
    <row r="67" spans="1:8" ht="27" customHeight="1" x14ac:dyDescent="0.4">
      <c r="A67" s="124" t="s">
        <v>102</v>
      </c>
      <c r="B67" s="125">
        <v>1</v>
      </c>
      <c r="C67" s="702"/>
      <c r="D67" s="697"/>
      <c r="E67" s="186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 x14ac:dyDescent="0.4">
      <c r="A68" s="124" t="s">
        <v>103</v>
      </c>
      <c r="B68" s="188">
        <f>(B67/B66)*(B65/B64)*(B63/B62)*(B61/B60)*B59</f>
        <v>2500</v>
      </c>
      <c r="C68" s="692" t="s">
        <v>104</v>
      </c>
      <c r="D68" s="695">
        <v>1904.68</v>
      </c>
      <c r="E68" s="182">
        <v>1</v>
      </c>
      <c r="F68" s="183">
        <v>24238851</v>
      </c>
      <c r="G68" s="248">
        <f>IF(ISBLANK(F68),"-",(F68/$D$50*$D$47*$B$68)*($B$57/$D$68))</f>
        <v>294.47865028342807</v>
      </c>
      <c r="H68" s="267">
        <f t="shared" si="0"/>
        <v>98.159550094476018</v>
      </c>
    </row>
    <row r="69" spans="1:8" ht="27" customHeight="1" x14ac:dyDescent="0.4">
      <c r="A69" s="172" t="s">
        <v>105</v>
      </c>
      <c r="B69" s="189">
        <f>(D47*B68)/B56*B57</f>
        <v>1901.1464999999996</v>
      </c>
      <c r="C69" s="693"/>
      <c r="D69" s="696"/>
      <c r="E69" s="184">
        <v>2</v>
      </c>
      <c r="F69" s="137">
        <v>24170957</v>
      </c>
      <c r="G69" s="249">
        <f>IF(ISBLANK(F69),"-",(F69/$D$50*$D$47*$B$68)*($B$57/$D$68))</f>
        <v>293.65380369798788</v>
      </c>
      <c r="H69" s="267">
        <f t="shared" si="0"/>
        <v>97.884601232662632</v>
      </c>
    </row>
    <row r="70" spans="1:8" ht="26.25" customHeight="1" x14ac:dyDescent="0.4">
      <c r="A70" s="698" t="s">
        <v>78</v>
      </c>
      <c r="B70" s="699"/>
      <c r="C70" s="693"/>
      <c r="D70" s="696"/>
      <c r="E70" s="184">
        <v>3</v>
      </c>
      <c r="F70" s="137">
        <v>24322512</v>
      </c>
      <c r="G70" s="249">
        <f>IF(ISBLANK(F70),"-",(F70/$D$50*$D$47*$B$68)*($B$57/$D$68))</f>
        <v>295.49505070444479</v>
      </c>
      <c r="H70" s="267">
        <f t="shared" si="0"/>
        <v>98.498350234814936</v>
      </c>
    </row>
    <row r="71" spans="1:8" ht="27" customHeight="1" x14ac:dyDescent="0.4">
      <c r="A71" s="700"/>
      <c r="B71" s="701"/>
      <c r="C71" s="694"/>
      <c r="D71" s="697"/>
      <c r="E71" s="186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2" t="s">
        <v>71</v>
      </c>
      <c r="G72" s="254">
        <f>AVERAGE(G60:G71)</f>
        <v>293.01407438960882</v>
      </c>
      <c r="H72" s="269">
        <f>AVERAGE(H60:H71)</f>
        <v>97.671358129869603</v>
      </c>
    </row>
    <row r="73" spans="1:8" ht="26.25" customHeight="1" x14ac:dyDescent="0.4">
      <c r="C73" s="190"/>
      <c r="D73" s="190"/>
      <c r="E73" s="190"/>
      <c r="F73" s="193" t="s">
        <v>84</v>
      </c>
      <c r="G73" s="253">
        <f>STDEV(G60:G71)/G72</f>
        <v>1.343139196848625E-2</v>
      </c>
      <c r="H73" s="253">
        <f>STDEV(H60:H71)/H72</f>
        <v>1.3431391968486226E-2</v>
      </c>
    </row>
    <row r="74" spans="1:8" ht="27" customHeight="1" x14ac:dyDescent="0.4">
      <c r="A74" s="190"/>
      <c r="B74" s="190"/>
      <c r="C74" s="191"/>
      <c r="D74" s="191"/>
      <c r="E74" s="194"/>
      <c r="F74" s="195" t="s">
        <v>20</v>
      </c>
      <c r="G74" s="196">
        <f>COUNT(G60:G71)</f>
        <v>9</v>
      </c>
      <c r="H74" s="196">
        <f>COUNT(H60:H71)</f>
        <v>9</v>
      </c>
    </row>
    <row r="76" spans="1:8" ht="26.25" customHeight="1" x14ac:dyDescent="0.4">
      <c r="A76" s="108" t="s">
        <v>106</v>
      </c>
      <c r="B76" s="197" t="s">
        <v>107</v>
      </c>
      <c r="C76" s="679" t="str">
        <f>B26</f>
        <v xml:space="preserve"> Lamivudine </v>
      </c>
      <c r="D76" s="679"/>
      <c r="E76" s="198" t="s">
        <v>108</v>
      </c>
      <c r="F76" s="198"/>
      <c r="G76" s="285">
        <f>H72</f>
        <v>97.671358129869603</v>
      </c>
      <c r="H76" s="200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713" t="str">
        <f>B26</f>
        <v xml:space="preserve"> Lamivudine </v>
      </c>
      <c r="C79" s="713"/>
    </row>
    <row r="80" spans="1:8" ht="26.25" customHeight="1" x14ac:dyDescent="0.4">
      <c r="A80" s="109" t="s">
        <v>48</v>
      </c>
      <c r="B80" s="713" t="str">
        <f>B27</f>
        <v>L3-10</v>
      </c>
      <c r="C80" s="713"/>
    </row>
    <row r="81" spans="1:12" ht="27" customHeight="1" x14ac:dyDescent="0.4">
      <c r="A81" s="109" t="s">
        <v>6</v>
      </c>
      <c r="B81" s="201">
        <f>B28</f>
        <v>99.39</v>
      </c>
    </row>
    <row r="82" spans="1:12" s="14" customFormat="1" ht="27" customHeight="1" x14ac:dyDescent="0.4">
      <c r="A82" s="109" t="s">
        <v>49</v>
      </c>
      <c r="B82" s="111">
        <v>0</v>
      </c>
      <c r="C82" s="681" t="s">
        <v>50</v>
      </c>
      <c r="D82" s="682"/>
      <c r="E82" s="682"/>
      <c r="F82" s="682"/>
      <c r="G82" s="683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99.39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684" t="s">
        <v>111</v>
      </c>
      <c r="D84" s="685"/>
      <c r="E84" s="685"/>
      <c r="F84" s="685"/>
      <c r="G84" s="685"/>
      <c r="H84" s="686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684" t="s">
        <v>112</v>
      </c>
      <c r="D85" s="685"/>
      <c r="E85" s="685"/>
      <c r="F85" s="685"/>
      <c r="G85" s="685"/>
      <c r="H85" s="686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50</v>
      </c>
      <c r="D89" s="202" t="s">
        <v>59</v>
      </c>
      <c r="E89" s="203"/>
      <c r="F89" s="687" t="s">
        <v>60</v>
      </c>
      <c r="G89" s="688"/>
    </row>
    <row r="90" spans="1:12" ht="27" customHeight="1" x14ac:dyDescent="0.4">
      <c r="A90" s="124" t="s">
        <v>61</v>
      </c>
      <c r="B90" s="125">
        <v>1</v>
      </c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</v>
      </c>
      <c r="C91" s="206">
        <v>1</v>
      </c>
      <c r="D91" s="132">
        <v>4971412</v>
      </c>
      <c r="E91" s="133">
        <f>IF(ISBLANK(D91),"-",$D$101/$D$98*D91)</f>
        <v>4878339.1431555627</v>
      </c>
      <c r="F91" s="132">
        <v>4726073</v>
      </c>
      <c r="G91" s="134">
        <f>IF(ISBLANK(F91),"-",$D$101/$F$98*F91)</f>
        <v>4967004.507439672</v>
      </c>
      <c r="I91" s="135"/>
    </row>
    <row r="92" spans="1:12" ht="26.25" customHeight="1" x14ac:dyDescent="0.4">
      <c r="A92" s="124" t="s">
        <v>67</v>
      </c>
      <c r="B92" s="125">
        <v>1</v>
      </c>
      <c r="C92" s="191">
        <v>2</v>
      </c>
      <c r="D92" s="137">
        <v>4970987</v>
      </c>
      <c r="E92" s="138">
        <f>IF(ISBLANK(D92),"-",$D$101/$D$98*D92)</f>
        <v>4877922.0998415425</v>
      </c>
      <c r="F92" s="137">
        <v>4770029</v>
      </c>
      <c r="G92" s="139">
        <f>IF(ISBLANK(F92),"-",$D$101/$F$98*F92)</f>
        <v>5013201.3499617865</v>
      </c>
      <c r="I92" s="689">
        <f>ABS((F96/D96*D95)-F95)/D95</f>
        <v>2.4313901751108546E-2</v>
      </c>
    </row>
    <row r="93" spans="1:12" ht="26.25" customHeight="1" x14ac:dyDescent="0.4">
      <c r="A93" s="124" t="s">
        <v>68</v>
      </c>
      <c r="B93" s="125">
        <v>1</v>
      </c>
      <c r="C93" s="191">
        <v>3</v>
      </c>
      <c r="D93" s="137">
        <v>4970306</v>
      </c>
      <c r="E93" s="138">
        <f>IF(ISBLANK(D93),"-",$D$101/$D$98*D93)</f>
        <v>4877253.8492607241</v>
      </c>
      <c r="F93" s="137">
        <v>4790180</v>
      </c>
      <c r="G93" s="139">
        <f>IF(ISBLANK(F93),"-",$D$101/$F$98*F93)</f>
        <v>5034379.6321909046</v>
      </c>
      <c r="I93" s="689"/>
    </row>
    <row r="94" spans="1:12" ht="27" customHeight="1" x14ac:dyDescent="0.4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09" t="s">
        <v>71</v>
      </c>
      <c r="D95" s="210">
        <f>AVERAGE(D91:D94)</f>
        <v>4970901.666666667</v>
      </c>
      <c r="E95" s="148">
        <f>AVERAGE(E91:E94)</f>
        <v>4877838.3640859434</v>
      </c>
      <c r="F95" s="211">
        <f>AVERAGE(F91:F94)</f>
        <v>4762094</v>
      </c>
      <c r="G95" s="212">
        <f>AVERAGE(G91:G94)</f>
        <v>5004861.829864121</v>
      </c>
    </row>
    <row r="96" spans="1:12" ht="26.25" customHeight="1" x14ac:dyDescent="0.4">
      <c r="A96" s="124" t="s">
        <v>72</v>
      </c>
      <c r="B96" s="110">
        <v>1</v>
      </c>
      <c r="C96" s="213" t="s">
        <v>113</v>
      </c>
      <c r="D96" s="214">
        <v>15.38</v>
      </c>
      <c r="E96" s="140"/>
      <c r="F96" s="152">
        <v>14.36</v>
      </c>
    </row>
    <row r="97" spans="1:10" ht="26.25" customHeight="1" x14ac:dyDescent="0.4">
      <c r="A97" s="124" t="s">
        <v>74</v>
      </c>
      <c r="B97" s="110">
        <v>1</v>
      </c>
      <c r="C97" s="215" t="s">
        <v>114</v>
      </c>
      <c r="D97" s="216">
        <f>D96*$B$87</f>
        <v>15.38</v>
      </c>
      <c r="E97" s="155"/>
      <c r="F97" s="154">
        <f>F96*$B$87</f>
        <v>14.36</v>
      </c>
    </row>
    <row r="98" spans="1:10" ht="19.5" customHeight="1" x14ac:dyDescent="0.3">
      <c r="A98" s="124" t="s">
        <v>76</v>
      </c>
      <c r="B98" s="217">
        <f>(B97/B96)*(B95/B94)*(B93/B92)*(B91/B90)*B89</f>
        <v>50</v>
      </c>
      <c r="C98" s="215" t="s">
        <v>115</v>
      </c>
      <c r="D98" s="218">
        <f>D97*$B$83/100</f>
        <v>15.286182000000002</v>
      </c>
      <c r="E98" s="158"/>
      <c r="F98" s="157">
        <f>F97*$B$83/100</f>
        <v>14.272404</v>
      </c>
    </row>
    <row r="99" spans="1:10" ht="19.5" customHeight="1" x14ac:dyDescent="0.3">
      <c r="A99" s="675" t="s">
        <v>78</v>
      </c>
      <c r="B99" s="690"/>
      <c r="C99" s="215" t="s">
        <v>116</v>
      </c>
      <c r="D99" s="219">
        <f>D98/$B$98</f>
        <v>0.30572364000000002</v>
      </c>
      <c r="E99" s="158"/>
      <c r="F99" s="161">
        <f>F98/$B$98</f>
        <v>0.28544807999999999</v>
      </c>
      <c r="G99" s="220"/>
      <c r="H99" s="150"/>
    </row>
    <row r="100" spans="1:10" ht="19.5" customHeight="1" x14ac:dyDescent="0.3">
      <c r="A100" s="677"/>
      <c r="B100" s="691"/>
      <c r="C100" s="215" t="s">
        <v>80</v>
      </c>
      <c r="D100" s="221">
        <f>$B$56/$B$116</f>
        <v>0.3</v>
      </c>
      <c r="F100" s="166"/>
      <c r="G100" s="222"/>
      <c r="H100" s="150"/>
    </row>
    <row r="101" spans="1:10" ht="18.75" x14ac:dyDescent="0.3">
      <c r="C101" s="215" t="s">
        <v>81</v>
      </c>
      <c r="D101" s="216">
        <f>D100*$B$98</f>
        <v>15</v>
      </c>
      <c r="F101" s="166"/>
      <c r="G101" s="220"/>
      <c r="H101" s="150"/>
    </row>
    <row r="102" spans="1:10" ht="19.5" customHeight="1" x14ac:dyDescent="0.3">
      <c r="C102" s="223" t="s">
        <v>82</v>
      </c>
      <c r="D102" s="224">
        <f>D101/B34</f>
        <v>15</v>
      </c>
      <c r="F102" s="170"/>
      <c r="G102" s="220"/>
      <c r="H102" s="150"/>
      <c r="J102" s="225"/>
    </row>
    <row r="103" spans="1:10" ht="18.75" x14ac:dyDescent="0.3">
      <c r="C103" s="226" t="s">
        <v>117</v>
      </c>
      <c r="D103" s="227">
        <f>AVERAGE(E91:E94,G91:G94)</f>
        <v>4941350.0969750332</v>
      </c>
      <c r="F103" s="170"/>
      <c r="G103" s="228"/>
      <c r="H103" s="150"/>
      <c r="J103" s="229"/>
    </row>
    <row r="104" spans="1:10" ht="18.75" x14ac:dyDescent="0.3">
      <c r="C104" s="193" t="s">
        <v>84</v>
      </c>
      <c r="D104" s="230">
        <f>STDEV(E91:E94,G91:G94)/D103</f>
        <v>1.4754445383012744E-2</v>
      </c>
      <c r="F104" s="170"/>
      <c r="G104" s="220"/>
      <c r="H104" s="150"/>
      <c r="J104" s="229"/>
    </row>
    <row r="105" spans="1:10" ht="19.5" customHeight="1" x14ac:dyDescent="0.3">
      <c r="C105" s="195" t="s">
        <v>20</v>
      </c>
      <c r="D105" s="231">
        <f>COUNT(E91:E94,G91:G94)</f>
        <v>6</v>
      </c>
      <c r="F105" s="170"/>
      <c r="G105" s="220"/>
      <c r="H105" s="150"/>
      <c r="J105" s="229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7" customHeight="1" x14ac:dyDescent="0.4">
      <c r="A107" s="122" t="s">
        <v>118</v>
      </c>
      <c r="B107" s="123">
        <v>1000</v>
      </c>
      <c r="C107" s="270" t="s">
        <v>119</v>
      </c>
      <c r="D107" s="270" t="s">
        <v>63</v>
      </c>
      <c r="E107" s="270" t="s">
        <v>120</v>
      </c>
      <c r="F107" s="232" t="s">
        <v>121</v>
      </c>
    </row>
    <row r="108" spans="1:10" ht="26.25" customHeight="1" x14ac:dyDescent="0.4">
      <c r="A108" s="124" t="s">
        <v>122</v>
      </c>
      <c r="B108" s="125">
        <v>1</v>
      </c>
      <c r="C108" s="275">
        <v>1</v>
      </c>
      <c r="D108" s="276">
        <v>5086444</v>
      </c>
      <c r="E108" s="250">
        <f t="shared" ref="E108:E113" si="1">IF(ISBLANK(D108),"-",D108/$D$103*$D$100*$B$116)</f>
        <v>308.80896314837855</v>
      </c>
      <c r="F108" s="277">
        <f t="shared" ref="F108:F113" si="2">IF(ISBLANK(D108), "-", (E108/$B$56)*100)</f>
        <v>102.93632104945951</v>
      </c>
    </row>
    <row r="109" spans="1:10" ht="26.25" customHeight="1" x14ac:dyDescent="0.4">
      <c r="A109" s="124" t="s">
        <v>95</v>
      </c>
      <c r="B109" s="125">
        <v>1</v>
      </c>
      <c r="C109" s="271">
        <v>2</v>
      </c>
      <c r="D109" s="273">
        <v>4935161</v>
      </c>
      <c r="E109" s="251">
        <f t="shared" si="1"/>
        <v>299.6242466014204</v>
      </c>
      <c r="F109" s="278">
        <f t="shared" si="2"/>
        <v>99.874748867140127</v>
      </c>
    </row>
    <row r="110" spans="1:10" ht="26.25" customHeight="1" x14ac:dyDescent="0.4">
      <c r="A110" s="124" t="s">
        <v>96</v>
      </c>
      <c r="B110" s="125">
        <v>1</v>
      </c>
      <c r="C110" s="271">
        <v>3</v>
      </c>
      <c r="D110" s="273">
        <v>4955324</v>
      </c>
      <c r="E110" s="251">
        <f t="shared" si="1"/>
        <v>300.84838572965236</v>
      </c>
      <c r="F110" s="278">
        <f t="shared" si="2"/>
        <v>100.28279524321746</v>
      </c>
    </row>
    <row r="111" spans="1:10" ht="26.25" customHeight="1" x14ac:dyDescent="0.4">
      <c r="A111" s="124" t="s">
        <v>97</v>
      </c>
      <c r="B111" s="125">
        <v>1</v>
      </c>
      <c r="C111" s="271">
        <v>4</v>
      </c>
      <c r="D111" s="273">
        <v>4995384</v>
      </c>
      <c r="E111" s="251">
        <f t="shared" si="1"/>
        <v>303.28051455358593</v>
      </c>
      <c r="F111" s="278">
        <f t="shared" si="2"/>
        <v>101.09350485119531</v>
      </c>
    </row>
    <row r="112" spans="1:10" ht="26.25" customHeight="1" x14ac:dyDescent="0.4">
      <c r="A112" s="124" t="s">
        <v>98</v>
      </c>
      <c r="B112" s="125">
        <v>1</v>
      </c>
      <c r="C112" s="271">
        <v>5</v>
      </c>
      <c r="D112" s="273">
        <v>5042421</v>
      </c>
      <c r="E112" s="251">
        <f t="shared" si="1"/>
        <v>306.13623206460358</v>
      </c>
      <c r="F112" s="278">
        <f t="shared" si="2"/>
        <v>102.04541068820119</v>
      </c>
    </row>
    <row r="113" spans="1:10" ht="27" customHeight="1" x14ac:dyDescent="0.4">
      <c r="A113" s="124" t="s">
        <v>100</v>
      </c>
      <c r="B113" s="125">
        <v>1</v>
      </c>
      <c r="C113" s="272">
        <v>6</v>
      </c>
      <c r="D113" s="274">
        <v>5030414</v>
      </c>
      <c r="E113" s="252">
        <f t="shared" si="1"/>
        <v>305.4072612510995</v>
      </c>
      <c r="F113" s="279">
        <f t="shared" si="2"/>
        <v>101.80242041703316</v>
      </c>
    </row>
    <row r="114" spans="1:10" ht="27" customHeight="1" x14ac:dyDescent="0.4">
      <c r="A114" s="124" t="s">
        <v>101</v>
      </c>
      <c r="B114" s="125">
        <v>1</v>
      </c>
      <c r="C114" s="233"/>
      <c r="D114" s="191"/>
      <c r="E114" s="98"/>
      <c r="F114" s="280"/>
    </row>
    <row r="115" spans="1:10" ht="26.25" customHeight="1" x14ac:dyDescent="0.4">
      <c r="A115" s="124" t="s">
        <v>102</v>
      </c>
      <c r="B115" s="125">
        <v>1</v>
      </c>
      <c r="C115" s="233"/>
      <c r="D115" s="257" t="s">
        <v>71</v>
      </c>
      <c r="E115" s="259">
        <f>AVERAGE(E108:E113)</f>
        <v>304.01760055812338</v>
      </c>
      <c r="F115" s="281">
        <f>AVERAGE(F108:F113)</f>
        <v>101.33920018604113</v>
      </c>
    </row>
    <row r="116" spans="1:10" ht="27" customHeight="1" x14ac:dyDescent="0.4">
      <c r="A116" s="124" t="s">
        <v>103</v>
      </c>
      <c r="B116" s="156">
        <f>(B115/B114)*(B113/B112)*(B111/B110)*(B109/B108)*B107</f>
        <v>1000</v>
      </c>
      <c r="C116" s="234"/>
      <c r="D116" s="258" t="s">
        <v>84</v>
      </c>
      <c r="E116" s="256">
        <f>STDEV(E108:E113)/E115</f>
        <v>1.1324471425049949E-2</v>
      </c>
      <c r="F116" s="235">
        <f>STDEV(F108:F113)/F115</f>
        <v>1.1324471425049911E-2</v>
      </c>
      <c r="I116" s="98"/>
    </row>
    <row r="117" spans="1:10" ht="27" customHeight="1" x14ac:dyDescent="0.4">
      <c r="A117" s="675" t="s">
        <v>78</v>
      </c>
      <c r="B117" s="676"/>
      <c r="C117" s="236"/>
      <c r="D117" s="195" t="s">
        <v>20</v>
      </c>
      <c r="E117" s="261">
        <f>COUNT(E108:E113)</f>
        <v>6</v>
      </c>
      <c r="F117" s="262">
        <f>COUNT(F108:F113)</f>
        <v>6</v>
      </c>
      <c r="I117" s="98"/>
      <c r="J117" s="229"/>
    </row>
    <row r="118" spans="1:10" ht="26.25" customHeight="1" x14ac:dyDescent="0.3">
      <c r="A118" s="677"/>
      <c r="B118" s="678"/>
      <c r="C118" s="98"/>
      <c r="D118" s="260"/>
      <c r="E118" s="703" t="s">
        <v>123</v>
      </c>
      <c r="F118" s="704"/>
      <c r="G118" s="98"/>
      <c r="H118" s="98"/>
      <c r="I118" s="98"/>
    </row>
    <row r="119" spans="1:10" ht="25.5" customHeight="1" x14ac:dyDescent="0.4">
      <c r="A119" s="245"/>
      <c r="B119" s="120"/>
      <c r="C119" s="98"/>
      <c r="D119" s="258" t="s">
        <v>124</v>
      </c>
      <c r="E119" s="263">
        <f>MIN(E108:E113)</f>
        <v>299.6242466014204</v>
      </c>
      <c r="F119" s="282">
        <f>MIN(F108:F113)</f>
        <v>99.874748867140127</v>
      </c>
      <c r="G119" s="98"/>
      <c r="H119" s="98"/>
      <c r="I119" s="98"/>
    </row>
    <row r="120" spans="1:10" ht="24" customHeight="1" x14ac:dyDescent="0.4">
      <c r="A120" s="245"/>
      <c r="B120" s="120"/>
      <c r="C120" s="98"/>
      <c r="D120" s="167" t="s">
        <v>125</v>
      </c>
      <c r="E120" s="264">
        <f>MAX(E108:E113)</f>
        <v>308.80896314837855</v>
      </c>
      <c r="F120" s="283">
        <f>MAX(F108:F113)</f>
        <v>102.93632104945951</v>
      </c>
      <c r="G120" s="98"/>
      <c r="H120" s="98"/>
      <c r="I120" s="98"/>
    </row>
    <row r="121" spans="1:10" ht="27" customHeight="1" x14ac:dyDescent="0.3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.75" x14ac:dyDescent="0.3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65">
      <c r="A124" s="108" t="s">
        <v>106</v>
      </c>
      <c r="B124" s="197" t="s">
        <v>126</v>
      </c>
      <c r="C124" s="679" t="str">
        <f>B26</f>
        <v xml:space="preserve"> Lamivudine </v>
      </c>
      <c r="D124" s="679"/>
      <c r="E124" s="198" t="s">
        <v>127</v>
      </c>
      <c r="F124" s="198"/>
      <c r="G124" s="284">
        <f>F115</f>
        <v>101.33920018604113</v>
      </c>
      <c r="H124" s="98"/>
      <c r="I124" s="98"/>
    </row>
    <row r="125" spans="1:10" ht="45.75" customHeight="1" x14ac:dyDescent="0.65">
      <c r="A125" s="108"/>
      <c r="B125" s="197" t="s">
        <v>128</v>
      </c>
      <c r="C125" s="109" t="s">
        <v>129</v>
      </c>
      <c r="D125" s="284">
        <f>MIN(F108:F113)</f>
        <v>99.874748867140127</v>
      </c>
      <c r="E125" s="209" t="s">
        <v>130</v>
      </c>
      <c r="F125" s="284">
        <f>MAX(F108:F113)</f>
        <v>102.93632104945951</v>
      </c>
      <c r="G125" s="199"/>
      <c r="H125" s="98"/>
      <c r="I125" s="98"/>
    </row>
    <row r="126" spans="1:10" ht="19.5" customHeight="1" x14ac:dyDescent="0.3">
      <c r="A126" s="237"/>
      <c r="B126" s="237"/>
      <c r="C126" s="238"/>
      <c r="D126" s="238"/>
      <c r="E126" s="238"/>
      <c r="F126" s="238"/>
      <c r="G126" s="238"/>
      <c r="H126" s="238"/>
    </row>
    <row r="127" spans="1:10" ht="18.75" x14ac:dyDescent="0.3">
      <c r="B127" s="680" t="s">
        <v>26</v>
      </c>
      <c r="C127" s="680"/>
      <c r="E127" s="204" t="s">
        <v>27</v>
      </c>
      <c r="F127" s="239"/>
      <c r="G127" s="680" t="s">
        <v>28</v>
      </c>
      <c r="H127" s="680"/>
    </row>
    <row r="128" spans="1:10" ht="69.95" customHeight="1" x14ac:dyDescent="0.3">
      <c r="A128" s="240" t="s">
        <v>29</v>
      </c>
      <c r="B128" s="241"/>
      <c r="C128" s="241"/>
      <c r="E128" s="241"/>
      <c r="F128" s="98"/>
      <c r="G128" s="242"/>
      <c r="H128" s="242"/>
    </row>
    <row r="129" spans="1:9" ht="69.95" customHeight="1" x14ac:dyDescent="0.3">
      <c r="A129" s="240" t="s">
        <v>30</v>
      </c>
      <c r="B129" s="243"/>
      <c r="C129" s="243"/>
      <c r="E129" s="243"/>
      <c r="F129" s="98"/>
      <c r="G129" s="244"/>
      <c r="H129" s="244"/>
    </row>
    <row r="130" spans="1:9" ht="18.75" x14ac:dyDescent="0.3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.75" x14ac:dyDescent="0.3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.75" x14ac:dyDescent="0.3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.75" x14ac:dyDescent="0.3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.75" x14ac:dyDescent="0.3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.75" x14ac:dyDescent="0.3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.75" x14ac:dyDescent="0.3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.75" x14ac:dyDescent="0.3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.75" x14ac:dyDescent="0.3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activeCell="B23" sqref="B2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73" t="s">
        <v>45</v>
      </c>
      <c r="B1" s="673"/>
      <c r="C1" s="673"/>
      <c r="D1" s="673"/>
      <c r="E1" s="673"/>
      <c r="F1" s="673"/>
      <c r="G1" s="673"/>
      <c r="H1" s="673"/>
      <c r="I1" s="673"/>
    </row>
    <row r="2" spans="1:9" ht="18.75" customHeight="1" x14ac:dyDescent="0.25">
      <c r="A2" s="673"/>
      <c r="B2" s="673"/>
      <c r="C2" s="673"/>
      <c r="D2" s="673"/>
      <c r="E2" s="673"/>
      <c r="F2" s="673"/>
      <c r="G2" s="673"/>
      <c r="H2" s="673"/>
      <c r="I2" s="673"/>
    </row>
    <row r="3" spans="1:9" ht="18.75" customHeight="1" x14ac:dyDescent="0.25">
      <c r="A3" s="673"/>
      <c r="B3" s="673"/>
      <c r="C3" s="673"/>
      <c r="D3" s="673"/>
      <c r="E3" s="673"/>
      <c r="F3" s="673"/>
      <c r="G3" s="673"/>
      <c r="H3" s="673"/>
      <c r="I3" s="673"/>
    </row>
    <row r="4" spans="1:9" ht="18.75" customHeight="1" x14ac:dyDescent="0.25">
      <c r="A4" s="673"/>
      <c r="B4" s="673"/>
      <c r="C4" s="673"/>
      <c r="D4" s="673"/>
      <c r="E4" s="673"/>
      <c r="F4" s="673"/>
      <c r="G4" s="673"/>
      <c r="H4" s="673"/>
      <c r="I4" s="673"/>
    </row>
    <row r="5" spans="1:9" ht="18.75" customHeight="1" x14ac:dyDescent="0.25">
      <c r="A5" s="673"/>
      <c r="B5" s="673"/>
      <c r="C5" s="673"/>
      <c r="D5" s="673"/>
      <c r="E5" s="673"/>
      <c r="F5" s="673"/>
      <c r="G5" s="673"/>
      <c r="H5" s="673"/>
      <c r="I5" s="673"/>
    </row>
    <row r="6" spans="1:9" ht="18.75" customHeight="1" x14ac:dyDescent="0.25">
      <c r="A6" s="673"/>
      <c r="B6" s="673"/>
      <c r="C6" s="673"/>
      <c r="D6" s="673"/>
      <c r="E6" s="673"/>
      <c r="F6" s="673"/>
      <c r="G6" s="673"/>
      <c r="H6" s="673"/>
      <c r="I6" s="673"/>
    </row>
    <row r="7" spans="1:9" ht="18.75" customHeight="1" x14ac:dyDescent="0.25">
      <c r="A7" s="673"/>
      <c r="B7" s="673"/>
      <c r="C7" s="673"/>
      <c r="D7" s="673"/>
      <c r="E7" s="673"/>
      <c r="F7" s="673"/>
      <c r="G7" s="673"/>
      <c r="H7" s="673"/>
      <c r="I7" s="673"/>
    </row>
    <row r="8" spans="1:9" x14ac:dyDescent="0.25">
      <c r="A8" s="674" t="s">
        <v>46</v>
      </c>
      <c r="B8" s="674"/>
      <c r="C8" s="674"/>
      <c r="D8" s="674"/>
      <c r="E8" s="674"/>
      <c r="F8" s="674"/>
      <c r="G8" s="674"/>
      <c r="H8" s="674"/>
      <c r="I8" s="674"/>
    </row>
    <row r="9" spans="1:9" x14ac:dyDescent="0.25">
      <c r="A9" s="674"/>
      <c r="B9" s="674"/>
      <c r="C9" s="674"/>
      <c r="D9" s="674"/>
      <c r="E9" s="674"/>
      <c r="F9" s="674"/>
      <c r="G9" s="674"/>
      <c r="H9" s="674"/>
      <c r="I9" s="674"/>
    </row>
    <row r="10" spans="1:9" x14ac:dyDescent="0.25">
      <c r="A10" s="674"/>
      <c r="B10" s="674"/>
      <c r="C10" s="674"/>
      <c r="D10" s="674"/>
      <c r="E10" s="674"/>
      <c r="F10" s="674"/>
      <c r="G10" s="674"/>
      <c r="H10" s="674"/>
      <c r="I10" s="674"/>
    </row>
    <row r="11" spans="1:9" x14ac:dyDescent="0.25">
      <c r="A11" s="674"/>
      <c r="B11" s="674"/>
      <c r="C11" s="674"/>
      <c r="D11" s="674"/>
      <c r="E11" s="674"/>
      <c r="F11" s="674"/>
      <c r="G11" s="674"/>
      <c r="H11" s="674"/>
      <c r="I11" s="674"/>
    </row>
    <row r="12" spans="1:9" x14ac:dyDescent="0.25">
      <c r="A12" s="674"/>
      <c r="B12" s="674"/>
      <c r="C12" s="674"/>
      <c r="D12" s="674"/>
      <c r="E12" s="674"/>
      <c r="F12" s="674"/>
      <c r="G12" s="674"/>
      <c r="H12" s="674"/>
      <c r="I12" s="674"/>
    </row>
    <row r="13" spans="1:9" x14ac:dyDescent="0.25">
      <c r="A13" s="674"/>
      <c r="B13" s="674"/>
      <c r="C13" s="674"/>
      <c r="D13" s="674"/>
      <c r="E13" s="674"/>
      <c r="F13" s="674"/>
      <c r="G13" s="674"/>
      <c r="H13" s="674"/>
      <c r="I13" s="674"/>
    </row>
    <row r="14" spans="1:9" x14ac:dyDescent="0.25">
      <c r="A14" s="674"/>
      <c r="B14" s="674"/>
      <c r="C14" s="674"/>
      <c r="D14" s="674"/>
      <c r="E14" s="674"/>
      <c r="F14" s="674"/>
      <c r="G14" s="674"/>
      <c r="H14" s="674"/>
      <c r="I14" s="674"/>
    </row>
    <row r="15" spans="1:9" ht="19.5" customHeight="1" x14ac:dyDescent="0.3">
      <c r="A15" s="286"/>
    </row>
    <row r="16" spans="1:9" ht="19.5" customHeight="1" x14ac:dyDescent="0.3">
      <c r="A16" s="706" t="s">
        <v>31</v>
      </c>
      <c r="B16" s="707"/>
      <c r="C16" s="707"/>
      <c r="D16" s="707"/>
      <c r="E16" s="707"/>
      <c r="F16" s="707"/>
      <c r="G16" s="707"/>
      <c r="H16" s="708"/>
    </row>
    <row r="17" spans="1:14" ht="20.25" customHeight="1" x14ac:dyDescent="0.25">
      <c r="A17" s="709" t="s">
        <v>47</v>
      </c>
      <c r="B17" s="709"/>
      <c r="C17" s="709"/>
      <c r="D17" s="709"/>
      <c r="E17" s="709"/>
      <c r="F17" s="709"/>
      <c r="G17" s="709"/>
      <c r="H17" s="709"/>
    </row>
    <row r="18" spans="1:14" ht="26.25" customHeight="1" x14ac:dyDescent="0.4">
      <c r="A18" s="288" t="s">
        <v>33</v>
      </c>
      <c r="B18" s="705" t="s">
        <v>5</v>
      </c>
      <c r="C18" s="705"/>
      <c r="D18" s="434"/>
      <c r="E18" s="289"/>
      <c r="F18" s="290"/>
      <c r="G18" s="290"/>
      <c r="H18" s="290"/>
    </row>
    <row r="19" spans="1:14" ht="26.25" customHeight="1" x14ac:dyDescent="0.4">
      <c r="A19" s="288" t="s">
        <v>34</v>
      </c>
      <c r="B19" s="291" t="s">
        <v>7</v>
      </c>
      <c r="C19" s="443">
        <v>1</v>
      </c>
      <c r="D19" s="290"/>
      <c r="E19" s="290"/>
      <c r="F19" s="290"/>
      <c r="G19" s="290"/>
      <c r="H19" s="290"/>
    </row>
    <row r="20" spans="1:14" ht="26.25" customHeight="1" x14ac:dyDescent="0.4">
      <c r="A20" s="288" t="s">
        <v>35</v>
      </c>
      <c r="B20" s="710" t="s">
        <v>133</v>
      </c>
      <c r="C20" s="710"/>
      <c r="D20" s="290"/>
      <c r="E20" s="290"/>
      <c r="F20" s="290"/>
      <c r="G20" s="290"/>
      <c r="H20" s="290"/>
    </row>
    <row r="21" spans="1:14" ht="26.25" customHeight="1" x14ac:dyDescent="0.4">
      <c r="A21" s="288" t="s">
        <v>36</v>
      </c>
      <c r="B21" s="710" t="s">
        <v>11</v>
      </c>
      <c r="C21" s="710"/>
      <c r="D21" s="710"/>
      <c r="E21" s="710"/>
      <c r="F21" s="710"/>
      <c r="G21" s="710"/>
      <c r="H21" s="710"/>
      <c r="I21" s="292"/>
    </row>
    <row r="22" spans="1:14" ht="26.25" customHeight="1" x14ac:dyDescent="0.4">
      <c r="A22" s="288" t="s">
        <v>37</v>
      </c>
      <c r="B22" s="293">
        <v>43038</v>
      </c>
      <c r="C22" s="290"/>
      <c r="D22" s="290"/>
      <c r="E22" s="290"/>
      <c r="F22" s="290"/>
      <c r="G22" s="290"/>
      <c r="H22" s="290"/>
    </row>
    <row r="23" spans="1:14" ht="26.25" customHeight="1" x14ac:dyDescent="0.4">
      <c r="A23" s="288" t="s">
        <v>38</v>
      </c>
      <c r="B23" s="293">
        <v>43014</v>
      </c>
      <c r="C23" s="290"/>
      <c r="D23" s="290"/>
      <c r="E23" s="290"/>
      <c r="F23" s="290"/>
      <c r="G23" s="290"/>
      <c r="H23" s="290"/>
    </row>
    <row r="24" spans="1:14" ht="18.75" x14ac:dyDescent="0.3">
      <c r="A24" s="288"/>
      <c r="B24" s="294"/>
    </row>
    <row r="25" spans="1:14" ht="18.75" x14ac:dyDescent="0.3">
      <c r="A25" s="295" t="s">
        <v>1</v>
      </c>
      <c r="B25" s="294"/>
    </row>
    <row r="26" spans="1:14" ht="26.25" customHeight="1" x14ac:dyDescent="0.4">
      <c r="A26" s="296" t="s">
        <v>4</v>
      </c>
      <c r="B26" s="705" t="s">
        <v>133</v>
      </c>
      <c r="C26" s="705"/>
    </row>
    <row r="27" spans="1:14" ht="26.25" customHeight="1" x14ac:dyDescent="0.4">
      <c r="A27" s="297" t="s">
        <v>48</v>
      </c>
      <c r="B27" s="711" t="s">
        <v>134</v>
      </c>
      <c r="C27" s="711"/>
    </row>
    <row r="28" spans="1:14" ht="27" customHeight="1" x14ac:dyDescent="0.4">
      <c r="A28" s="297" t="s">
        <v>6</v>
      </c>
      <c r="B28" s="298">
        <v>99.54</v>
      </c>
    </row>
    <row r="29" spans="1:14" s="14" customFormat="1" ht="27" customHeight="1" x14ac:dyDescent="0.4">
      <c r="A29" s="297" t="s">
        <v>49</v>
      </c>
      <c r="B29" s="299">
        <v>0</v>
      </c>
      <c r="C29" s="681" t="s">
        <v>50</v>
      </c>
      <c r="D29" s="682"/>
      <c r="E29" s="682"/>
      <c r="F29" s="682"/>
      <c r="G29" s="683"/>
      <c r="I29" s="300"/>
      <c r="J29" s="300"/>
      <c r="K29" s="300"/>
      <c r="L29" s="300"/>
    </row>
    <row r="30" spans="1:14" s="14" customFormat="1" ht="19.5" customHeight="1" x14ac:dyDescent="0.3">
      <c r="A30" s="297" t="s">
        <v>51</v>
      </c>
      <c r="B30" s="301">
        <f>B28-B29</f>
        <v>99.54</v>
      </c>
      <c r="C30" s="302"/>
      <c r="D30" s="302"/>
      <c r="E30" s="302"/>
      <c r="F30" s="302"/>
      <c r="G30" s="303"/>
      <c r="I30" s="300"/>
      <c r="J30" s="300"/>
      <c r="K30" s="300"/>
      <c r="L30" s="300"/>
    </row>
    <row r="31" spans="1:14" s="14" customFormat="1" ht="27" customHeight="1" x14ac:dyDescent="0.4">
      <c r="A31" s="297" t="s">
        <v>52</v>
      </c>
      <c r="B31" s="304">
        <v>1</v>
      </c>
      <c r="C31" s="684" t="s">
        <v>53</v>
      </c>
      <c r="D31" s="685"/>
      <c r="E31" s="685"/>
      <c r="F31" s="685"/>
      <c r="G31" s="685"/>
      <c r="H31" s="686"/>
      <c r="I31" s="300"/>
      <c r="J31" s="300"/>
      <c r="K31" s="300"/>
      <c r="L31" s="300"/>
    </row>
    <row r="32" spans="1:14" s="14" customFormat="1" ht="27" customHeight="1" x14ac:dyDescent="0.4">
      <c r="A32" s="297" t="s">
        <v>54</v>
      </c>
      <c r="B32" s="304">
        <v>1</v>
      </c>
      <c r="C32" s="684" t="s">
        <v>55</v>
      </c>
      <c r="D32" s="685"/>
      <c r="E32" s="685"/>
      <c r="F32" s="685"/>
      <c r="G32" s="685"/>
      <c r="H32" s="686"/>
      <c r="I32" s="300"/>
      <c r="J32" s="300"/>
      <c r="K32" s="300"/>
      <c r="L32" s="305"/>
      <c r="M32" s="305"/>
      <c r="N32" s="306"/>
    </row>
    <row r="33" spans="1:14" s="14" customFormat="1" ht="17.25" customHeight="1" x14ac:dyDescent="0.3">
      <c r="A33" s="297"/>
      <c r="B33" s="307"/>
      <c r="C33" s="308"/>
      <c r="D33" s="308"/>
      <c r="E33" s="308"/>
      <c r="F33" s="308"/>
      <c r="G33" s="308"/>
      <c r="H33" s="308"/>
      <c r="I33" s="300"/>
      <c r="J33" s="300"/>
      <c r="K33" s="300"/>
      <c r="L33" s="305"/>
      <c r="M33" s="305"/>
      <c r="N33" s="306"/>
    </row>
    <row r="34" spans="1:14" s="14" customFormat="1" ht="18.75" x14ac:dyDescent="0.3">
      <c r="A34" s="297" t="s">
        <v>56</v>
      </c>
      <c r="B34" s="309">
        <f>B31/B32</f>
        <v>1</v>
      </c>
      <c r="C34" s="287" t="s">
        <v>57</v>
      </c>
      <c r="D34" s="287"/>
      <c r="E34" s="287"/>
      <c r="F34" s="287"/>
      <c r="G34" s="287"/>
      <c r="I34" s="300"/>
      <c r="J34" s="300"/>
      <c r="K34" s="300"/>
      <c r="L34" s="305"/>
      <c r="M34" s="305"/>
      <c r="N34" s="306"/>
    </row>
    <row r="35" spans="1:14" s="14" customFormat="1" ht="19.5" customHeight="1" x14ac:dyDescent="0.3">
      <c r="A35" s="297"/>
      <c r="B35" s="301"/>
      <c r="G35" s="287"/>
      <c r="I35" s="300"/>
      <c r="J35" s="300"/>
      <c r="K35" s="300"/>
      <c r="L35" s="305"/>
      <c r="M35" s="305"/>
      <c r="N35" s="306"/>
    </row>
    <row r="36" spans="1:14" s="14" customFormat="1" ht="27" customHeight="1" x14ac:dyDescent="0.4">
      <c r="A36" s="310" t="s">
        <v>58</v>
      </c>
      <c r="B36" s="311">
        <v>100</v>
      </c>
      <c r="C36" s="287"/>
      <c r="D36" s="687" t="s">
        <v>59</v>
      </c>
      <c r="E36" s="712"/>
      <c r="F36" s="687" t="s">
        <v>60</v>
      </c>
      <c r="G36" s="688"/>
      <c r="J36" s="300"/>
      <c r="K36" s="300"/>
      <c r="L36" s="305"/>
      <c r="M36" s="305"/>
      <c r="N36" s="306"/>
    </row>
    <row r="37" spans="1:14" s="14" customFormat="1" ht="27" customHeight="1" x14ac:dyDescent="0.4">
      <c r="A37" s="312" t="s">
        <v>61</v>
      </c>
      <c r="B37" s="313">
        <v>1</v>
      </c>
      <c r="C37" s="314" t="s">
        <v>62</v>
      </c>
      <c r="D37" s="315" t="s">
        <v>63</v>
      </c>
      <c r="E37" s="316" t="s">
        <v>64</v>
      </c>
      <c r="F37" s="315" t="s">
        <v>63</v>
      </c>
      <c r="G37" s="317" t="s">
        <v>64</v>
      </c>
      <c r="I37" s="318" t="s">
        <v>65</v>
      </c>
      <c r="J37" s="300"/>
      <c r="K37" s="300"/>
      <c r="L37" s="305"/>
      <c r="M37" s="305"/>
      <c r="N37" s="306"/>
    </row>
    <row r="38" spans="1:14" s="14" customFormat="1" ht="26.25" customHeight="1" x14ac:dyDescent="0.4">
      <c r="A38" s="312" t="s">
        <v>66</v>
      </c>
      <c r="B38" s="313">
        <v>1</v>
      </c>
      <c r="C38" s="319">
        <v>1</v>
      </c>
      <c r="D38" s="320">
        <v>11302594</v>
      </c>
      <c r="E38" s="321">
        <f>IF(ISBLANK(D38),"-",$D$48/$D$45*D38)</f>
        <v>11797222.02651678</v>
      </c>
      <c r="F38" s="320">
        <v>12435604</v>
      </c>
      <c r="G38" s="322">
        <f>IF(ISBLANK(F38),"-",$D$48/$F$45*F38)</f>
        <v>12031851.170278948</v>
      </c>
      <c r="I38" s="323"/>
      <c r="J38" s="300"/>
      <c r="K38" s="300"/>
      <c r="L38" s="305"/>
      <c r="M38" s="305"/>
      <c r="N38" s="306"/>
    </row>
    <row r="39" spans="1:14" s="14" customFormat="1" ht="26.25" customHeight="1" x14ac:dyDescent="0.4">
      <c r="A39" s="312" t="s">
        <v>67</v>
      </c>
      <c r="B39" s="313">
        <v>1</v>
      </c>
      <c r="C39" s="324">
        <v>2</v>
      </c>
      <c r="D39" s="325">
        <v>11286998</v>
      </c>
      <c r="E39" s="326">
        <f>IF(ISBLANK(D39),"-",$D$48/$D$45*D39)</f>
        <v>11780943.508972442</v>
      </c>
      <c r="F39" s="325">
        <v>12380396</v>
      </c>
      <c r="G39" s="327">
        <f>IF(ISBLANK(F39),"-",$D$48/$F$45*F39)</f>
        <v>11978435.635383436</v>
      </c>
      <c r="I39" s="689">
        <f>ABS((F43/D43*D42)-F42)/D42</f>
        <v>2.5606669614017627E-2</v>
      </c>
      <c r="J39" s="300"/>
      <c r="K39" s="300"/>
      <c r="L39" s="305"/>
      <c r="M39" s="305"/>
      <c r="N39" s="306"/>
    </row>
    <row r="40" spans="1:14" ht="26.25" customHeight="1" x14ac:dyDescent="0.4">
      <c r="A40" s="312" t="s">
        <v>68</v>
      </c>
      <c r="B40" s="313">
        <v>1</v>
      </c>
      <c r="C40" s="324">
        <v>3</v>
      </c>
      <c r="D40" s="325">
        <v>11236159</v>
      </c>
      <c r="E40" s="326">
        <f>IF(ISBLANK(D40),"-",$D$48/$D$45*D40)</f>
        <v>11727879.675076781</v>
      </c>
      <c r="F40" s="325">
        <v>12540975</v>
      </c>
      <c r="G40" s="327">
        <f>IF(ISBLANK(F40),"-",$D$48/$F$45*F40)</f>
        <v>12133801.038549397</v>
      </c>
      <c r="I40" s="689"/>
      <c r="L40" s="305"/>
      <c r="M40" s="305"/>
      <c r="N40" s="328"/>
    </row>
    <row r="41" spans="1:14" ht="27" customHeight="1" x14ac:dyDescent="0.4">
      <c r="A41" s="312" t="s">
        <v>69</v>
      </c>
      <c r="B41" s="313">
        <v>1</v>
      </c>
      <c r="C41" s="329">
        <v>4</v>
      </c>
      <c r="D41" s="330"/>
      <c r="E41" s="331" t="str">
        <f>IF(ISBLANK(D41),"-",$D$48/$D$45*D41)</f>
        <v>-</v>
      </c>
      <c r="F41" s="330"/>
      <c r="G41" s="332" t="str">
        <f>IF(ISBLANK(F41),"-",$D$48/$F$45*F41)</f>
        <v>-</v>
      </c>
      <c r="I41" s="333"/>
      <c r="L41" s="305"/>
      <c r="M41" s="305"/>
      <c r="N41" s="328"/>
    </row>
    <row r="42" spans="1:14" ht="27" customHeight="1" x14ac:dyDescent="0.4">
      <c r="A42" s="312" t="s">
        <v>70</v>
      </c>
      <c r="B42" s="313">
        <v>1</v>
      </c>
      <c r="C42" s="334" t="s">
        <v>71</v>
      </c>
      <c r="D42" s="335">
        <f>AVERAGE(D38:D41)</f>
        <v>11275250.333333334</v>
      </c>
      <c r="E42" s="336">
        <f>AVERAGE(E38:E41)</f>
        <v>11768681.736855336</v>
      </c>
      <c r="F42" s="335">
        <f>AVERAGE(F38:F41)</f>
        <v>12452325</v>
      </c>
      <c r="G42" s="337">
        <f>AVERAGE(G38:G41)</f>
        <v>12048029.281403929</v>
      </c>
      <c r="H42" s="338"/>
    </row>
    <row r="43" spans="1:14" ht="26.25" customHeight="1" x14ac:dyDescent="0.4">
      <c r="A43" s="312" t="s">
        <v>72</v>
      </c>
      <c r="B43" s="313">
        <v>1</v>
      </c>
      <c r="C43" s="339" t="s">
        <v>73</v>
      </c>
      <c r="D43" s="340">
        <v>11.55</v>
      </c>
      <c r="E43" s="328"/>
      <c r="F43" s="340">
        <v>12.46</v>
      </c>
      <c r="H43" s="338"/>
    </row>
    <row r="44" spans="1:14" ht="26.25" customHeight="1" x14ac:dyDescent="0.4">
      <c r="A44" s="312" t="s">
        <v>74</v>
      </c>
      <c r="B44" s="313">
        <v>1</v>
      </c>
      <c r="C44" s="341" t="s">
        <v>75</v>
      </c>
      <c r="D44" s="342">
        <f>D43*$B$34</f>
        <v>11.55</v>
      </c>
      <c r="E44" s="343"/>
      <c r="F44" s="342">
        <f>F43*$B$34</f>
        <v>12.46</v>
      </c>
      <c r="H44" s="338"/>
    </row>
    <row r="45" spans="1:14" ht="19.5" customHeight="1" x14ac:dyDescent="0.3">
      <c r="A45" s="312" t="s">
        <v>76</v>
      </c>
      <c r="B45" s="344">
        <f>(B44/B43)*(B42/B41)*(B40/B39)*(B38/B37)*B36</f>
        <v>100</v>
      </c>
      <c r="C45" s="341" t="s">
        <v>77</v>
      </c>
      <c r="D45" s="345">
        <f>D44*$B$30/100</f>
        <v>11.496870000000001</v>
      </c>
      <c r="E45" s="346"/>
      <c r="F45" s="345">
        <f>F44*$B$30/100</f>
        <v>12.402684000000001</v>
      </c>
      <c r="H45" s="338"/>
    </row>
    <row r="46" spans="1:14" ht="19.5" customHeight="1" x14ac:dyDescent="0.3">
      <c r="A46" s="675" t="s">
        <v>78</v>
      </c>
      <c r="B46" s="676"/>
      <c r="C46" s="341" t="s">
        <v>79</v>
      </c>
      <c r="D46" s="347">
        <f>D45/$B$45</f>
        <v>0.11496870000000001</v>
      </c>
      <c r="E46" s="348"/>
      <c r="F46" s="349">
        <f>F45/$B$45</f>
        <v>0.12402684000000001</v>
      </c>
      <c r="H46" s="338"/>
    </row>
    <row r="47" spans="1:14" ht="27" customHeight="1" x14ac:dyDescent="0.4">
      <c r="A47" s="677"/>
      <c r="B47" s="678"/>
      <c r="C47" s="350" t="s">
        <v>80</v>
      </c>
      <c r="D47" s="351">
        <v>0.12</v>
      </c>
      <c r="E47" s="352"/>
      <c r="F47" s="348"/>
      <c r="H47" s="338"/>
    </row>
    <row r="48" spans="1:14" ht="18.75" x14ac:dyDescent="0.3">
      <c r="C48" s="353" t="s">
        <v>81</v>
      </c>
      <c r="D48" s="345">
        <f>D47*$B$45</f>
        <v>12</v>
      </c>
      <c r="F48" s="354"/>
      <c r="H48" s="338"/>
    </row>
    <row r="49" spans="1:12" ht="19.5" customHeight="1" x14ac:dyDescent="0.3">
      <c r="C49" s="355" t="s">
        <v>82</v>
      </c>
      <c r="D49" s="356">
        <f>D48/B34</f>
        <v>12</v>
      </c>
      <c r="F49" s="354"/>
      <c r="H49" s="338"/>
    </row>
    <row r="50" spans="1:12" ht="18.75" x14ac:dyDescent="0.3">
      <c r="C50" s="310" t="s">
        <v>83</v>
      </c>
      <c r="D50" s="357">
        <f>AVERAGE(E38:E41,G38:G41)</f>
        <v>11908355.50912963</v>
      </c>
      <c r="F50" s="358"/>
      <c r="H50" s="338"/>
    </row>
    <row r="51" spans="1:12" ht="18.75" x14ac:dyDescent="0.3">
      <c r="C51" s="312" t="s">
        <v>84</v>
      </c>
      <c r="D51" s="359">
        <f>STDEV(E38:E41,G38:G41)/D50</f>
        <v>1.3651710490716715E-2</v>
      </c>
      <c r="F51" s="358"/>
      <c r="H51" s="338"/>
    </row>
    <row r="52" spans="1:12" ht="19.5" customHeight="1" x14ac:dyDescent="0.3">
      <c r="C52" s="360" t="s">
        <v>20</v>
      </c>
      <c r="D52" s="361">
        <f>COUNT(E38:E41,G38:G41)</f>
        <v>6</v>
      </c>
      <c r="F52" s="358"/>
    </row>
    <row r="54" spans="1:12" ht="18.75" x14ac:dyDescent="0.3">
      <c r="A54" s="362" t="s">
        <v>1</v>
      </c>
      <c r="B54" s="363" t="s">
        <v>85</v>
      </c>
    </row>
    <row r="55" spans="1:12" ht="18.75" x14ac:dyDescent="0.3">
      <c r="A55" s="287" t="s">
        <v>86</v>
      </c>
      <c r="B55" s="364" t="str">
        <f>B21</f>
        <v>Each film coated tablet contains: Tenofovir disoproxil fumarate 300 mg, Lamivudine USP 300 mg and Efavirenz USP 600 mg.</v>
      </c>
    </row>
    <row r="56" spans="1:12" ht="26.25" customHeight="1" x14ac:dyDescent="0.4">
      <c r="A56" s="365" t="s">
        <v>87</v>
      </c>
      <c r="B56" s="366">
        <v>300</v>
      </c>
      <c r="C56" s="287" t="str">
        <f>B20</f>
        <v xml:space="preserve">Tenofovir Disoproxil Fumarate </v>
      </c>
      <c r="H56" s="367"/>
    </row>
    <row r="57" spans="1:12" ht="18.75" x14ac:dyDescent="0.3">
      <c r="A57" s="364" t="s">
        <v>88</v>
      </c>
      <c r="B57" s="435">
        <f>Uniformity!C46</f>
        <v>1901.1464999999996</v>
      </c>
      <c r="H57" s="367"/>
    </row>
    <row r="58" spans="1:12" ht="19.5" customHeight="1" x14ac:dyDescent="0.3">
      <c r="H58" s="367"/>
    </row>
    <row r="59" spans="1:12" s="14" customFormat="1" ht="27" customHeight="1" x14ac:dyDescent="0.4">
      <c r="A59" s="310" t="s">
        <v>89</v>
      </c>
      <c r="B59" s="311">
        <v>200</v>
      </c>
      <c r="C59" s="287"/>
      <c r="D59" s="368" t="s">
        <v>90</v>
      </c>
      <c r="E59" s="369" t="s">
        <v>62</v>
      </c>
      <c r="F59" s="369" t="s">
        <v>63</v>
      </c>
      <c r="G59" s="369" t="s">
        <v>91</v>
      </c>
      <c r="H59" s="314" t="s">
        <v>92</v>
      </c>
      <c r="L59" s="300"/>
    </row>
    <row r="60" spans="1:12" s="14" customFormat="1" ht="26.25" customHeight="1" x14ac:dyDescent="0.4">
      <c r="A60" s="312" t="s">
        <v>93</v>
      </c>
      <c r="B60" s="313">
        <v>4</v>
      </c>
      <c r="C60" s="692" t="s">
        <v>94</v>
      </c>
      <c r="D60" s="695">
        <v>1898.46</v>
      </c>
      <c r="E60" s="370">
        <v>1</v>
      </c>
      <c r="F60" s="371">
        <v>11821469</v>
      </c>
      <c r="G60" s="436">
        <f>IF(ISBLANK(F60),"-",(F60/$D$50*$D$47*$B$68)*($B$57/$D$60))</f>
        <v>298.23255154228673</v>
      </c>
      <c r="H60" s="454">
        <f t="shared" ref="H60:H71" si="0">IF(ISBLANK(F60),"-",(G60/$B$56)*100)</f>
        <v>99.410850514095571</v>
      </c>
      <c r="L60" s="300"/>
    </row>
    <row r="61" spans="1:12" s="14" customFormat="1" ht="26.25" customHeight="1" x14ac:dyDescent="0.4">
      <c r="A61" s="312" t="s">
        <v>95</v>
      </c>
      <c r="B61" s="313">
        <v>50</v>
      </c>
      <c r="C61" s="693"/>
      <c r="D61" s="696"/>
      <c r="E61" s="372">
        <v>2</v>
      </c>
      <c r="F61" s="325">
        <v>11940747</v>
      </c>
      <c r="G61" s="437">
        <f>IF(ISBLANK(F61),"-",(F61/$D$50*$D$47*$B$68)*($B$57/$D$60))</f>
        <v>301.24170229020655</v>
      </c>
      <c r="H61" s="455">
        <f t="shared" si="0"/>
        <v>100.41390076340218</v>
      </c>
      <c r="L61" s="300"/>
    </row>
    <row r="62" spans="1:12" s="14" customFormat="1" ht="26.25" customHeight="1" x14ac:dyDescent="0.4">
      <c r="A62" s="312" t="s">
        <v>96</v>
      </c>
      <c r="B62" s="313">
        <v>1</v>
      </c>
      <c r="C62" s="693"/>
      <c r="D62" s="696"/>
      <c r="E62" s="372">
        <v>3</v>
      </c>
      <c r="F62" s="373">
        <v>11679467</v>
      </c>
      <c r="G62" s="437">
        <f>IF(ISBLANK(F62),"-",(F62/$D$50*$D$47*$B$68)*($B$57/$D$60))</f>
        <v>294.6501187004709</v>
      </c>
      <c r="H62" s="455">
        <f t="shared" si="0"/>
        <v>98.216706233490299</v>
      </c>
      <c r="L62" s="300"/>
    </row>
    <row r="63" spans="1:12" ht="27" customHeight="1" x14ac:dyDescent="0.4">
      <c r="A63" s="312" t="s">
        <v>97</v>
      </c>
      <c r="B63" s="313">
        <v>1</v>
      </c>
      <c r="C63" s="702"/>
      <c r="D63" s="697"/>
      <c r="E63" s="374">
        <v>4</v>
      </c>
      <c r="F63" s="375"/>
      <c r="G63" s="437" t="str">
        <f>IF(ISBLANK(F63),"-",(F63/$D$50*$D$47*$B$68)*($B$57/$D$60))</f>
        <v>-</v>
      </c>
      <c r="H63" s="455" t="str">
        <f t="shared" si="0"/>
        <v>-</v>
      </c>
    </row>
    <row r="64" spans="1:12" ht="26.25" customHeight="1" x14ac:dyDescent="0.4">
      <c r="A64" s="312" t="s">
        <v>98</v>
      </c>
      <c r="B64" s="313">
        <v>1</v>
      </c>
      <c r="C64" s="692" t="s">
        <v>99</v>
      </c>
      <c r="D64" s="695">
        <v>1908.95</v>
      </c>
      <c r="E64" s="370">
        <v>1</v>
      </c>
      <c r="F64" s="371">
        <v>12044033</v>
      </c>
      <c r="G64" s="436">
        <f>IF(ISBLANK(F64),"-",(F64/$D$50*$D$47*$B$68)*($B$57/$D$64))</f>
        <v>302.17771375163227</v>
      </c>
      <c r="H64" s="454">
        <f t="shared" si="0"/>
        <v>100.72590458387742</v>
      </c>
    </row>
    <row r="65" spans="1:8" ht="26.25" customHeight="1" x14ac:dyDescent="0.4">
      <c r="A65" s="312" t="s">
        <v>100</v>
      </c>
      <c r="B65" s="313">
        <v>1</v>
      </c>
      <c r="C65" s="693"/>
      <c r="D65" s="696"/>
      <c r="E65" s="372">
        <v>2</v>
      </c>
      <c r="F65" s="325">
        <v>12034882</v>
      </c>
      <c r="G65" s="437">
        <f>IF(ISBLANK(F65),"-",(F65/$D$50*$D$47*$B$68)*($B$57/$D$64))</f>
        <v>301.94812053659035</v>
      </c>
      <c r="H65" s="455">
        <f t="shared" si="0"/>
        <v>100.64937351219679</v>
      </c>
    </row>
    <row r="66" spans="1:8" ht="26.25" customHeight="1" x14ac:dyDescent="0.4">
      <c r="A66" s="312" t="s">
        <v>101</v>
      </c>
      <c r="B66" s="313">
        <v>1</v>
      </c>
      <c r="C66" s="693"/>
      <c r="D66" s="696"/>
      <c r="E66" s="372">
        <v>3</v>
      </c>
      <c r="F66" s="325">
        <v>12041716</v>
      </c>
      <c r="G66" s="437">
        <f>IF(ISBLANK(F66),"-",(F66/$D$50*$D$47*$B$68)*($B$57/$D$64))</f>
        <v>302.11958158255214</v>
      </c>
      <c r="H66" s="455">
        <f t="shared" si="0"/>
        <v>100.70652719418405</v>
      </c>
    </row>
    <row r="67" spans="1:8" ht="27" customHeight="1" x14ac:dyDescent="0.4">
      <c r="A67" s="312" t="s">
        <v>102</v>
      </c>
      <c r="B67" s="313">
        <v>1</v>
      </c>
      <c r="C67" s="702"/>
      <c r="D67" s="697"/>
      <c r="E67" s="374">
        <v>4</v>
      </c>
      <c r="F67" s="375"/>
      <c r="G67" s="453" t="str">
        <f>IF(ISBLANK(F67),"-",(F67/$D$50*$D$47*$B$68)*($B$57/$D$64))</f>
        <v>-</v>
      </c>
      <c r="H67" s="456" t="str">
        <f t="shared" si="0"/>
        <v>-</v>
      </c>
    </row>
    <row r="68" spans="1:8" ht="26.25" customHeight="1" x14ac:dyDescent="0.4">
      <c r="A68" s="312" t="s">
        <v>103</v>
      </c>
      <c r="B68" s="376">
        <f>(B67/B66)*(B65/B64)*(B63/B62)*(B61/B60)*B59</f>
        <v>2500</v>
      </c>
      <c r="C68" s="692" t="s">
        <v>104</v>
      </c>
      <c r="D68" s="695">
        <v>1904.68</v>
      </c>
      <c r="E68" s="370">
        <v>1</v>
      </c>
      <c r="F68" s="371">
        <v>11663262</v>
      </c>
      <c r="G68" s="436">
        <f>IF(ISBLANK(F68),"-",(F68/$D$50*$D$47*$B$68)*($B$57/$D$68))</f>
        <v>293.280411954248</v>
      </c>
      <c r="H68" s="455">
        <f t="shared" si="0"/>
        <v>97.760137318082656</v>
      </c>
    </row>
    <row r="69" spans="1:8" ht="27" customHeight="1" x14ac:dyDescent="0.4">
      <c r="A69" s="360" t="s">
        <v>105</v>
      </c>
      <c r="B69" s="377">
        <f>(D47*B68)/B56*B57</f>
        <v>1901.1464999999996</v>
      </c>
      <c r="C69" s="693"/>
      <c r="D69" s="696"/>
      <c r="E69" s="372">
        <v>2</v>
      </c>
      <c r="F69" s="325">
        <v>11679780</v>
      </c>
      <c r="G69" s="437">
        <f>IF(ISBLANK(F69),"-",(F69/$D$50*$D$47*$B$68)*($B$57/$D$68))</f>
        <v>293.69576795368113</v>
      </c>
      <c r="H69" s="455">
        <f t="shared" si="0"/>
        <v>97.898589317893709</v>
      </c>
    </row>
    <row r="70" spans="1:8" ht="26.25" customHeight="1" x14ac:dyDescent="0.4">
      <c r="A70" s="698" t="s">
        <v>78</v>
      </c>
      <c r="B70" s="699"/>
      <c r="C70" s="693"/>
      <c r="D70" s="696"/>
      <c r="E70" s="372">
        <v>3</v>
      </c>
      <c r="F70" s="325">
        <v>11750191</v>
      </c>
      <c r="G70" s="437">
        <f>IF(ISBLANK(F70),"-",(F70/$D$50*$D$47*$B$68)*($B$57/$D$68))</f>
        <v>295.46629896688398</v>
      </c>
      <c r="H70" s="455">
        <f t="shared" si="0"/>
        <v>98.488766322294666</v>
      </c>
    </row>
    <row r="71" spans="1:8" ht="27" customHeight="1" x14ac:dyDescent="0.4">
      <c r="A71" s="700"/>
      <c r="B71" s="701"/>
      <c r="C71" s="694"/>
      <c r="D71" s="697"/>
      <c r="E71" s="374">
        <v>4</v>
      </c>
      <c r="F71" s="375"/>
      <c r="G71" s="453" t="str">
        <f>IF(ISBLANK(F71),"-",(F71/$D$50*$D$47*$B$68)*($B$57/$D$68))</f>
        <v>-</v>
      </c>
      <c r="H71" s="456" t="str">
        <f t="shared" si="0"/>
        <v>-</v>
      </c>
    </row>
    <row r="72" spans="1:8" ht="26.25" customHeight="1" x14ac:dyDescent="0.4">
      <c r="A72" s="378"/>
      <c r="B72" s="378"/>
      <c r="C72" s="378"/>
      <c r="D72" s="378"/>
      <c r="E72" s="378"/>
      <c r="F72" s="380" t="s">
        <v>71</v>
      </c>
      <c r="G72" s="442">
        <f>AVERAGE(G60:G71)</f>
        <v>298.09025191983915</v>
      </c>
      <c r="H72" s="457">
        <f>AVERAGE(H60:H71)</f>
        <v>99.36341730661303</v>
      </c>
    </row>
    <row r="73" spans="1:8" ht="26.25" customHeight="1" x14ac:dyDescent="0.4">
      <c r="C73" s="378"/>
      <c r="D73" s="378"/>
      <c r="E73" s="378"/>
      <c r="F73" s="381" t="s">
        <v>84</v>
      </c>
      <c r="G73" s="441">
        <f>STDEV(G60:G71)/G72</f>
        <v>1.2935336421880866E-2</v>
      </c>
      <c r="H73" s="441">
        <f>STDEV(H60:H71)/H72</f>
        <v>1.2935336421880885E-2</v>
      </c>
    </row>
    <row r="74" spans="1:8" ht="27" customHeight="1" x14ac:dyDescent="0.4">
      <c r="A74" s="378"/>
      <c r="B74" s="378"/>
      <c r="C74" s="379"/>
      <c r="D74" s="379"/>
      <c r="E74" s="382"/>
      <c r="F74" s="383" t="s">
        <v>20</v>
      </c>
      <c r="G74" s="384">
        <f>COUNT(G60:G71)</f>
        <v>9</v>
      </c>
      <c r="H74" s="384">
        <f>COUNT(H60:H71)</f>
        <v>9</v>
      </c>
    </row>
    <row r="76" spans="1:8" ht="26.25" customHeight="1" x14ac:dyDescent="0.4">
      <c r="A76" s="296" t="s">
        <v>106</v>
      </c>
      <c r="B76" s="385" t="s">
        <v>107</v>
      </c>
      <c r="C76" s="679" t="str">
        <f>B26</f>
        <v xml:space="preserve">Tenofovir Disoproxil Fumarate </v>
      </c>
      <c r="D76" s="679"/>
      <c r="E76" s="386" t="s">
        <v>108</v>
      </c>
      <c r="F76" s="386"/>
      <c r="G76" s="473">
        <f>H72</f>
        <v>99.36341730661303</v>
      </c>
      <c r="H76" s="388"/>
    </row>
    <row r="77" spans="1:8" ht="18.75" x14ac:dyDescent="0.3">
      <c r="A77" s="295" t="s">
        <v>109</v>
      </c>
      <c r="B77" s="295" t="s">
        <v>110</v>
      </c>
    </row>
    <row r="78" spans="1:8" ht="18.75" x14ac:dyDescent="0.3">
      <c r="A78" s="295"/>
      <c r="B78" s="295"/>
    </row>
    <row r="79" spans="1:8" ht="26.25" customHeight="1" x14ac:dyDescent="0.4">
      <c r="A79" s="296" t="s">
        <v>4</v>
      </c>
      <c r="B79" s="713" t="str">
        <f>B26</f>
        <v xml:space="preserve">Tenofovir Disoproxil Fumarate </v>
      </c>
      <c r="C79" s="713"/>
    </row>
    <row r="80" spans="1:8" ht="26.25" customHeight="1" x14ac:dyDescent="0.4">
      <c r="A80" s="297" t="s">
        <v>48</v>
      </c>
      <c r="B80" s="713" t="str">
        <f>B27</f>
        <v>T11-10</v>
      </c>
      <c r="C80" s="713"/>
    </row>
    <row r="81" spans="1:12" ht="27" customHeight="1" x14ac:dyDescent="0.4">
      <c r="A81" s="297" t="s">
        <v>6</v>
      </c>
      <c r="B81" s="389">
        <f>B28</f>
        <v>99.54</v>
      </c>
    </row>
    <row r="82" spans="1:12" s="14" customFormat="1" ht="27" customHeight="1" x14ac:dyDescent="0.4">
      <c r="A82" s="297" t="s">
        <v>49</v>
      </c>
      <c r="B82" s="299">
        <v>0</v>
      </c>
      <c r="C82" s="681" t="s">
        <v>50</v>
      </c>
      <c r="D82" s="682"/>
      <c r="E82" s="682"/>
      <c r="F82" s="682"/>
      <c r="G82" s="683"/>
      <c r="I82" s="300"/>
      <c r="J82" s="300"/>
      <c r="K82" s="300"/>
      <c r="L82" s="300"/>
    </row>
    <row r="83" spans="1:12" s="14" customFormat="1" ht="19.5" customHeight="1" x14ac:dyDescent="0.3">
      <c r="A83" s="297" t="s">
        <v>51</v>
      </c>
      <c r="B83" s="301">
        <f>B81-B82</f>
        <v>99.54</v>
      </c>
      <c r="C83" s="302"/>
      <c r="D83" s="302"/>
      <c r="E83" s="302"/>
      <c r="F83" s="302"/>
      <c r="G83" s="303"/>
      <c r="I83" s="300"/>
      <c r="J83" s="300"/>
      <c r="K83" s="300"/>
      <c r="L83" s="300"/>
    </row>
    <row r="84" spans="1:12" s="14" customFormat="1" ht="27" customHeight="1" x14ac:dyDescent="0.4">
      <c r="A84" s="297" t="s">
        <v>52</v>
      </c>
      <c r="B84" s="304">
        <v>1</v>
      </c>
      <c r="C84" s="684" t="s">
        <v>111</v>
      </c>
      <c r="D84" s="685"/>
      <c r="E84" s="685"/>
      <c r="F84" s="685"/>
      <c r="G84" s="685"/>
      <c r="H84" s="686"/>
      <c r="I84" s="300"/>
      <c r="J84" s="300"/>
      <c r="K84" s="300"/>
      <c r="L84" s="300"/>
    </row>
    <row r="85" spans="1:12" s="14" customFormat="1" ht="27" customHeight="1" x14ac:dyDescent="0.4">
      <c r="A85" s="297" t="s">
        <v>54</v>
      </c>
      <c r="B85" s="304">
        <v>1</v>
      </c>
      <c r="C85" s="684" t="s">
        <v>112</v>
      </c>
      <c r="D85" s="685"/>
      <c r="E85" s="685"/>
      <c r="F85" s="685"/>
      <c r="G85" s="685"/>
      <c r="H85" s="686"/>
      <c r="I85" s="300"/>
      <c r="J85" s="300"/>
      <c r="K85" s="300"/>
      <c r="L85" s="300"/>
    </row>
    <row r="86" spans="1:12" s="14" customFormat="1" ht="18.75" x14ac:dyDescent="0.3">
      <c r="A86" s="297"/>
      <c r="B86" s="307"/>
      <c r="C86" s="308"/>
      <c r="D86" s="308"/>
      <c r="E86" s="308"/>
      <c r="F86" s="308"/>
      <c r="G86" s="308"/>
      <c r="H86" s="308"/>
      <c r="I86" s="300"/>
      <c r="J86" s="300"/>
      <c r="K86" s="300"/>
      <c r="L86" s="300"/>
    </row>
    <row r="87" spans="1:12" s="14" customFormat="1" ht="18.75" x14ac:dyDescent="0.3">
      <c r="A87" s="297" t="s">
        <v>56</v>
      </c>
      <c r="B87" s="309">
        <f>B84/B85</f>
        <v>1</v>
      </c>
      <c r="C87" s="287" t="s">
        <v>57</v>
      </c>
      <c r="D87" s="287"/>
      <c r="E87" s="287"/>
      <c r="F87" s="287"/>
      <c r="G87" s="287"/>
      <c r="I87" s="300"/>
      <c r="J87" s="300"/>
      <c r="K87" s="300"/>
      <c r="L87" s="300"/>
    </row>
    <row r="88" spans="1:12" ht="19.5" customHeight="1" x14ac:dyDescent="0.3">
      <c r="A88" s="295"/>
      <c r="B88" s="295"/>
    </row>
    <row r="89" spans="1:12" ht="27" customHeight="1" x14ac:dyDescent="0.4">
      <c r="A89" s="310" t="s">
        <v>58</v>
      </c>
      <c r="B89" s="311">
        <v>50</v>
      </c>
      <c r="D89" s="390" t="s">
        <v>59</v>
      </c>
      <c r="E89" s="391"/>
      <c r="F89" s="687" t="s">
        <v>60</v>
      </c>
      <c r="G89" s="688"/>
    </row>
    <row r="90" spans="1:12" ht="27" customHeight="1" x14ac:dyDescent="0.4">
      <c r="A90" s="312" t="s">
        <v>61</v>
      </c>
      <c r="B90" s="313">
        <v>1</v>
      </c>
      <c r="C90" s="392" t="s">
        <v>62</v>
      </c>
      <c r="D90" s="315" t="s">
        <v>63</v>
      </c>
      <c r="E90" s="316" t="s">
        <v>64</v>
      </c>
      <c r="F90" s="315" t="s">
        <v>63</v>
      </c>
      <c r="G90" s="393" t="s">
        <v>64</v>
      </c>
      <c r="I90" s="318" t="s">
        <v>65</v>
      </c>
    </row>
    <row r="91" spans="1:12" ht="26.25" customHeight="1" x14ac:dyDescent="0.4">
      <c r="A91" s="312" t="s">
        <v>66</v>
      </c>
      <c r="B91" s="313">
        <v>1</v>
      </c>
      <c r="C91" s="394">
        <v>1</v>
      </c>
      <c r="D91" s="320">
        <v>3494380</v>
      </c>
      <c r="E91" s="321">
        <f>IF(ISBLANK(D91),"-",$D$101/$D$98*D91)</f>
        <v>3614133.5938039757</v>
      </c>
      <c r="F91" s="320">
        <v>3676164</v>
      </c>
      <c r="G91" s="322">
        <f>IF(ISBLANK(F91),"-",$D$101/$F$98*F91)</f>
        <v>3625476.9321075906</v>
      </c>
      <c r="I91" s="323"/>
    </row>
    <row r="92" spans="1:12" ht="26.25" customHeight="1" x14ac:dyDescent="0.4">
      <c r="A92" s="312" t="s">
        <v>67</v>
      </c>
      <c r="B92" s="313">
        <v>1</v>
      </c>
      <c r="C92" s="379">
        <v>2</v>
      </c>
      <c r="D92" s="325">
        <v>3492104</v>
      </c>
      <c r="E92" s="326">
        <f>IF(ISBLANK(D92),"-",$D$101/$D$98*D92)</f>
        <v>3611779.5945081068</v>
      </c>
      <c r="F92" s="325">
        <v>3708523</v>
      </c>
      <c r="G92" s="327">
        <f>IF(ISBLANK(F92),"-",$D$101/$F$98*F92)</f>
        <v>3657389.7651710962</v>
      </c>
      <c r="I92" s="689">
        <f>ABS((F96/D96*D95)-F95)/D95</f>
        <v>1.1349905401885343E-2</v>
      </c>
    </row>
    <row r="93" spans="1:12" ht="26.25" customHeight="1" x14ac:dyDescent="0.4">
      <c r="A93" s="312" t="s">
        <v>68</v>
      </c>
      <c r="B93" s="313">
        <v>1</v>
      </c>
      <c r="C93" s="379">
        <v>3</v>
      </c>
      <c r="D93" s="325">
        <v>3490350</v>
      </c>
      <c r="E93" s="326">
        <f>IF(ISBLANK(D93),"-",$D$101/$D$98*D93)</f>
        <v>3609965.4843301834</v>
      </c>
      <c r="F93" s="325">
        <v>3721597</v>
      </c>
      <c r="G93" s="327">
        <f>IF(ISBLANK(F93),"-",$D$101/$F$98*F93)</f>
        <v>3670283.5004370892</v>
      </c>
      <c r="I93" s="689"/>
    </row>
    <row r="94" spans="1:12" ht="27" customHeight="1" x14ac:dyDescent="0.4">
      <c r="A94" s="312" t="s">
        <v>69</v>
      </c>
      <c r="B94" s="313">
        <v>1</v>
      </c>
      <c r="C94" s="395">
        <v>4</v>
      </c>
      <c r="D94" s="330"/>
      <c r="E94" s="331" t="str">
        <f>IF(ISBLANK(D94),"-",$D$101/$D$98*D94)</f>
        <v>-</v>
      </c>
      <c r="F94" s="396"/>
      <c r="G94" s="332" t="str">
        <f>IF(ISBLANK(F94),"-",$D$101/$F$98*F94)</f>
        <v>-</v>
      </c>
      <c r="I94" s="333"/>
    </row>
    <row r="95" spans="1:12" ht="27" customHeight="1" x14ac:dyDescent="0.4">
      <c r="A95" s="312" t="s">
        <v>70</v>
      </c>
      <c r="B95" s="313">
        <v>1</v>
      </c>
      <c r="C95" s="397" t="s">
        <v>71</v>
      </c>
      <c r="D95" s="398">
        <f>AVERAGE(D91:D94)</f>
        <v>3492278</v>
      </c>
      <c r="E95" s="336">
        <f>AVERAGE(E91:E94)</f>
        <v>3611959.5575474221</v>
      </c>
      <c r="F95" s="399">
        <f>AVERAGE(F91:F94)</f>
        <v>3702094.6666666665</v>
      </c>
      <c r="G95" s="400">
        <f>AVERAGE(G91:G94)</f>
        <v>3651050.0659052585</v>
      </c>
    </row>
    <row r="96" spans="1:12" ht="26.25" customHeight="1" x14ac:dyDescent="0.4">
      <c r="A96" s="312" t="s">
        <v>72</v>
      </c>
      <c r="B96" s="298">
        <v>1</v>
      </c>
      <c r="C96" s="401" t="s">
        <v>113</v>
      </c>
      <c r="D96" s="402">
        <v>14.57</v>
      </c>
      <c r="E96" s="328"/>
      <c r="F96" s="340">
        <v>15.28</v>
      </c>
    </row>
    <row r="97" spans="1:10" ht="26.25" customHeight="1" x14ac:dyDescent="0.4">
      <c r="A97" s="312" t="s">
        <v>74</v>
      </c>
      <c r="B97" s="298">
        <v>1</v>
      </c>
      <c r="C97" s="403" t="s">
        <v>114</v>
      </c>
      <c r="D97" s="404">
        <f>D96*$B$87</f>
        <v>14.57</v>
      </c>
      <c r="E97" s="343"/>
      <c r="F97" s="342">
        <f>F96*$B$87</f>
        <v>15.28</v>
      </c>
    </row>
    <row r="98" spans="1:10" ht="19.5" customHeight="1" x14ac:dyDescent="0.3">
      <c r="A98" s="312" t="s">
        <v>76</v>
      </c>
      <c r="B98" s="405">
        <f>(B97/B96)*(B95/B94)*(B93/B92)*(B91/B90)*B89</f>
        <v>50</v>
      </c>
      <c r="C98" s="403" t="s">
        <v>115</v>
      </c>
      <c r="D98" s="406">
        <f>D97*$B$83/100</f>
        <v>14.502978000000001</v>
      </c>
      <c r="E98" s="346"/>
      <c r="F98" s="345">
        <f>F97*$B$83/100</f>
        <v>15.209712</v>
      </c>
    </row>
    <row r="99" spans="1:10" ht="19.5" customHeight="1" x14ac:dyDescent="0.3">
      <c r="A99" s="675" t="s">
        <v>78</v>
      </c>
      <c r="B99" s="690"/>
      <c r="C99" s="403" t="s">
        <v>116</v>
      </c>
      <c r="D99" s="407">
        <f>D98/$B$98</f>
        <v>0.29005955999999999</v>
      </c>
      <c r="E99" s="346"/>
      <c r="F99" s="349">
        <f>F98/$B$98</f>
        <v>0.30419424</v>
      </c>
      <c r="G99" s="408"/>
      <c r="H99" s="338"/>
    </row>
    <row r="100" spans="1:10" ht="19.5" customHeight="1" x14ac:dyDescent="0.3">
      <c r="A100" s="677"/>
      <c r="B100" s="691"/>
      <c r="C100" s="403" t="s">
        <v>80</v>
      </c>
      <c r="D100" s="409">
        <f>$B$56/$B$116</f>
        <v>0.3</v>
      </c>
      <c r="F100" s="354"/>
      <c r="G100" s="410"/>
      <c r="H100" s="338"/>
    </row>
    <row r="101" spans="1:10" ht="18.75" x14ac:dyDescent="0.3">
      <c r="C101" s="403" t="s">
        <v>81</v>
      </c>
      <c r="D101" s="404">
        <f>D100*$B$98</f>
        <v>15</v>
      </c>
      <c r="F101" s="354"/>
      <c r="G101" s="408"/>
      <c r="H101" s="338"/>
    </row>
    <row r="102" spans="1:10" ht="19.5" customHeight="1" x14ac:dyDescent="0.3">
      <c r="C102" s="411" t="s">
        <v>82</v>
      </c>
      <c r="D102" s="412">
        <f>D101/B34</f>
        <v>15</v>
      </c>
      <c r="F102" s="358"/>
      <c r="G102" s="408"/>
      <c r="H102" s="338"/>
      <c r="J102" s="413"/>
    </row>
    <row r="103" spans="1:10" ht="18.75" x14ac:dyDescent="0.3">
      <c r="C103" s="414" t="s">
        <v>117</v>
      </c>
      <c r="D103" s="415">
        <f>AVERAGE(E91:E94,G91:G94)</f>
        <v>3631504.8117263406</v>
      </c>
      <c r="F103" s="358"/>
      <c r="G103" s="416"/>
      <c r="H103" s="338"/>
      <c r="J103" s="417"/>
    </row>
    <row r="104" spans="1:10" ht="18.75" x14ac:dyDescent="0.3">
      <c r="C104" s="381" t="s">
        <v>84</v>
      </c>
      <c r="D104" s="418">
        <f>STDEV(E91:E94,G91:G94)/D103</f>
        <v>7.1435972890636591E-3</v>
      </c>
      <c r="F104" s="358"/>
      <c r="G104" s="408"/>
      <c r="H104" s="338"/>
      <c r="J104" s="417"/>
    </row>
    <row r="105" spans="1:10" ht="19.5" customHeight="1" x14ac:dyDescent="0.3">
      <c r="C105" s="383" t="s">
        <v>20</v>
      </c>
      <c r="D105" s="419">
        <f>COUNT(E91:E94,G91:G94)</f>
        <v>6</v>
      </c>
      <c r="F105" s="358"/>
      <c r="G105" s="408"/>
      <c r="H105" s="338"/>
      <c r="J105" s="417"/>
    </row>
    <row r="106" spans="1:10" ht="19.5" customHeight="1" x14ac:dyDescent="0.3">
      <c r="A106" s="362"/>
      <c r="B106" s="362"/>
      <c r="C106" s="362"/>
      <c r="D106" s="362"/>
      <c r="E106" s="362"/>
    </row>
    <row r="107" spans="1:10" ht="27" customHeight="1" x14ac:dyDescent="0.4">
      <c r="A107" s="310" t="s">
        <v>118</v>
      </c>
      <c r="B107" s="311">
        <v>1000</v>
      </c>
      <c r="C107" s="458" t="s">
        <v>119</v>
      </c>
      <c r="D107" s="458" t="s">
        <v>63</v>
      </c>
      <c r="E107" s="458" t="s">
        <v>120</v>
      </c>
      <c r="F107" s="420" t="s">
        <v>121</v>
      </c>
    </row>
    <row r="108" spans="1:10" ht="26.25" customHeight="1" x14ac:dyDescent="0.4">
      <c r="A108" s="312" t="s">
        <v>122</v>
      </c>
      <c r="B108" s="313">
        <v>1</v>
      </c>
      <c r="C108" s="463">
        <v>1</v>
      </c>
      <c r="D108" s="464">
        <v>3517951</v>
      </c>
      <c r="E108" s="438">
        <f t="shared" ref="E108:E113" si="1">IF(ISBLANK(D108),"-",D108/$D$103*$D$100*$B$116)</f>
        <v>290.61927622733674</v>
      </c>
      <c r="F108" s="465">
        <f t="shared" ref="F108:F113" si="2">IF(ISBLANK(D108), "-", (E108/$B$56)*100)</f>
        <v>96.873092075778914</v>
      </c>
    </row>
    <row r="109" spans="1:10" ht="26.25" customHeight="1" x14ac:dyDescent="0.4">
      <c r="A109" s="312" t="s">
        <v>95</v>
      </c>
      <c r="B109" s="313">
        <v>1</v>
      </c>
      <c r="C109" s="459">
        <v>2</v>
      </c>
      <c r="D109" s="461">
        <v>3402049</v>
      </c>
      <c r="E109" s="439">
        <f t="shared" si="1"/>
        <v>281.04456772420502</v>
      </c>
      <c r="F109" s="466">
        <f t="shared" si="2"/>
        <v>93.681522574735013</v>
      </c>
    </row>
    <row r="110" spans="1:10" ht="26.25" customHeight="1" x14ac:dyDescent="0.4">
      <c r="A110" s="312" t="s">
        <v>96</v>
      </c>
      <c r="B110" s="313">
        <v>1</v>
      </c>
      <c r="C110" s="459">
        <v>3</v>
      </c>
      <c r="D110" s="461">
        <v>3406263</v>
      </c>
      <c r="E110" s="439">
        <f t="shared" si="1"/>
        <v>281.39268787426454</v>
      </c>
      <c r="F110" s="466">
        <f t="shared" si="2"/>
        <v>93.797562624754846</v>
      </c>
    </row>
    <row r="111" spans="1:10" ht="26.25" customHeight="1" x14ac:dyDescent="0.4">
      <c r="A111" s="312" t="s">
        <v>97</v>
      </c>
      <c r="B111" s="313">
        <v>1</v>
      </c>
      <c r="C111" s="459">
        <v>4</v>
      </c>
      <c r="D111" s="461">
        <v>3402027</v>
      </c>
      <c r="E111" s="439">
        <f t="shared" si="1"/>
        <v>281.04275029579941</v>
      </c>
      <c r="F111" s="466">
        <f t="shared" si="2"/>
        <v>93.68091676526646</v>
      </c>
    </row>
    <row r="112" spans="1:10" ht="26.25" customHeight="1" x14ac:dyDescent="0.4">
      <c r="A112" s="312" t="s">
        <v>98</v>
      </c>
      <c r="B112" s="313">
        <v>1</v>
      </c>
      <c r="C112" s="459">
        <v>5</v>
      </c>
      <c r="D112" s="461">
        <v>3482503</v>
      </c>
      <c r="E112" s="439">
        <f t="shared" si="1"/>
        <v>287.69090340358031</v>
      </c>
      <c r="F112" s="466">
        <f t="shared" si="2"/>
        <v>95.896967801193426</v>
      </c>
    </row>
    <row r="113" spans="1:10" ht="27" customHeight="1" x14ac:dyDescent="0.4">
      <c r="A113" s="312" t="s">
        <v>100</v>
      </c>
      <c r="B113" s="313">
        <v>1</v>
      </c>
      <c r="C113" s="460">
        <v>6</v>
      </c>
      <c r="D113" s="462">
        <v>3442820</v>
      </c>
      <c r="E113" s="440">
        <f t="shared" si="1"/>
        <v>284.41267561174089</v>
      </c>
      <c r="F113" s="467">
        <f t="shared" si="2"/>
        <v>94.804225203913632</v>
      </c>
    </row>
    <row r="114" spans="1:10" ht="27" customHeight="1" x14ac:dyDescent="0.4">
      <c r="A114" s="312" t="s">
        <v>101</v>
      </c>
      <c r="B114" s="313">
        <v>1</v>
      </c>
      <c r="C114" s="421"/>
      <c r="D114" s="379"/>
      <c r="E114" s="286"/>
      <c r="F114" s="468"/>
    </row>
    <row r="115" spans="1:10" ht="26.25" customHeight="1" x14ac:dyDescent="0.4">
      <c r="A115" s="312" t="s">
        <v>102</v>
      </c>
      <c r="B115" s="313">
        <v>1</v>
      </c>
      <c r="C115" s="421"/>
      <c r="D115" s="445" t="s">
        <v>71</v>
      </c>
      <c r="E115" s="447">
        <f>AVERAGE(E108:E113)</f>
        <v>284.36714352282115</v>
      </c>
      <c r="F115" s="469">
        <f>AVERAGE(F108:F113)</f>
        <v>94.789047840940384</v>
      </c>
    </row>
    <row r="116" spans="1:10" ht="27" customHeight="1" x14ac:dyDescent="0.4">
      <c r="A116" s="312" t="s">
        <v>103</v>
      </c>
      <c r="B116" s="344">
        <f>(B115/B114)*(B113/B112)*(B111/B110)*(B109/B108)*B107</f>
        <v>1000</v>
      </c>
      <c r="C116" s="422"/>
      <c r="D116" s="446" t="s">
        <v>84</v>
      </c>
      <c r="E116" s="444">
        <f>STDEV(E108:E113)/E115</f>
        <v>1.4160699059489102E-2</v>
      </c>
      <c r="F116" s="423">
        <f>STDEV(F108:F113)/F115</f>
        <v>1.4160699059489096E-2</v>
      </c>
      <c r="I116" s="286"/>
    </row>
    <row r="117" spans="1:10" ht="27" customHeight="1" x14ac:dyDescent="0.4">
      <c r="A117" s="675" t="s">
        <v>78</v>
      </c>
      <c r="B117" s="676"/>
      <c r="C117" s="424"/>
      <c r="D117" s="383" t="s">
        <v>20</v>
      </c>
      <c r="E117" s="449">
        <f>COUNT(E108:E113)</f>
        <v>6</v>
      </c>
      <c r="F117" s="450">
        <f>COUNT(F108:F113)</f>
        <v>6</v>
      </c>
      <c r="I117" s="286"/>
      <c r="J117" s="417"/>
    </row>
    <row r="118" spans="1:10" ht="26.25" customHeight="1" x14ac:dyDescent="0.3">
      <c r="A118" s="677"/>
      <c r="B118" s="678"/>
      <c r="C118" s="286"/>
      <c r="D118" s="448"/>
      <c r="E118" s="703" t="s">
        <v>123</v>
      </c>
      <c r="F118" s="704"/>
      <c r="G118" s="286"/>
      <c r="H118" s="286"/>
      <c r="I118" s="286"/>
    </row>
    <row r="119" spans="1:10" ht="25.5" customHeight="1" x14ac:dyDescent="0.4">
      <c r="A119" s="433"/>
      <c r="B119" s="308"/>
      <c r="C119" s="286"/>
      <c r="D119" s="446" t="s">
        <v>124</v>
      </c>
      <c r="E119" s="451">
        <f>MIN(E108:E113)</f>
        <v>281.04275029579941</v>
      </c>
      <c r="F119" s="470">
        <f>MIN(F108:F113)</f>
        <v>93.68091676526646</v>
      </c>
      <c r="G119" s="286"/>
      <c r="H119" s="286"/>
      <c r="I119" s="286"/>
    </row>
    <row r="120" spans="1:10" ht="24" customHeight="1" x14ac:dyDescent="0.4">
      <c r="A120" s="433"/>
      <c r="B120" s="308"/>
      <c r="C120" s="286"/>
      <c r="D120" s="355" t="s">
        <v>125</v>
      </c>
      <c r="E120" s="452">
        <f>MAX(E108:E113)</f>
        <v>290.61927622733674</v>
      </c>
      <c r="F120" s="471">
        <f>MAX(F108:F113)</f>
        <v>96.873092075778914</v>
      </c>
      <c r="G120" s="286"/>
      <c r="H120" s="286"/>
      <c r="I120" s="286"/>
    </row>
    <row r="121" spans="1:10" ht="27" customHeight="1" x14ac:dyDescent="0.3">
      <c r="A121" s="433"/>
      <c r="B121" s="308"/>
      <c r="C121" s="286"/>
      <c r="D121" s="286"/>
      <c r="E121" s="286"/>
      <c r="F121" s="379"/>
      <c r="G121" s="286"/>
      <c r="H121" s="286"/>
      <c r="I121" s="286"/>
    </row>
    <row r="122" spans="1:10" ht="25.5" customHeight="1" x14ac:dyDescent="0.3">
      <c r="A122" s="433"/>
      <c r="B122" s="308"/>
      <c r="C122" s="286"/>
      <c r="D122" s="286"/>
      <c r="E122" s="286"/>
      <c r="F122" s="379"/>
      <c r="G122" s="286"/>
      <c r="H122" s="286"/>
      <c r="I122" s="286"/>
    </row>
    <row r="123" spans="1:10" ht="18.75" x14ac:dyDescent="0.3">
      <c r="A123" s="433"/>
      <c r="B123" s="308"/>
      <c r="C123" s="286"/>
      <c r="D123" s="286"/>
      <c r="E123" s="286"/>
      <c r="F123" s="379"/>
      <c r="G123" s="286"/>
      <c r="H123" s="286"/>
      <c r="I123" s="286"/>
    </row>
    <row r="124" spans="1:10" ht="45.75" customHeight="1" x14ac:dyDescent="0.65">
      <c r="A124" s="296" t="s">
        <v>106</v>
      </c>
      <c r="B124" s="385" t="s">
        <v>126</v>
      </c>
      <c r="C124" s="679" t="str">
        <f>B26</f>
        <v xml:space="preserve">Tenofovir Disoproxil Fumarate </v>
      </c>
      <c r="D124" s="679"/>
      <c r="E124" s="386" t="s">
        <v>127</v>
      </c>
      <c r="F124" s="386"/>
      <c r="G124" s="472">
        <f>F115</f>
        <v>94.789047840940384</v>
      </c>
      <c r="H124" s="286"/>
      <c r="I124" s="286"/>
    </row>
    <row r="125" spans="1:10" ht="45.75" customHeight="1" x14ac:dyDescent="0.65">
      <c r="A125" s="296"/>
      <c r="B125" s="385" t="s">
        <v>128</v>
      </c>
      <c r="C125" s="297" t="s">
        <v>129</v>
      </c>
      <c r="D125" s="472">
        <f>MIN(F108:F113)</f>
        <v>93.68091676526646</v>
      </c>
      <c r="E125" s="397" t="s">
        <v>130</v>
      </c>
      <c r="F125" s="472">
        <f>MAX(F108:F113)</f>
        <v>96.873092075778914</v>
      </c>
      <c r="G125" s="387"/>
      <c r="H125" s="286"/>
      <c r="I125" s="286"/>
    </row>
    <row r="126" spans="1:10" ht="19.5" customHeight="1" x14ac:dyDescent="0.3">
      <c r="A126" s="425"/>
      <c r="B126" s="425"/>
      <c r="C126" s="426"/>
      <c r="D126" s="426"/>
      <c r="E126" s="426"/>
      <c r="F126" s="426"/>
      <c r="G126" s="426"/>
      <c r="H126" s="426"/>
    </row>
    <row r="127" spans="1:10" ht="18.75" x14ac:dyDescent="0.3">
      <c r="B127" s="680" t="s">
        <v>26</v>
      </c>
      <c r="C127" s="680"/>
      <c r="E127" s="392" t="s">
        <v>27</v>
      </c>
      <c r="F127" s="427"/>
      <c r="G127" s="680" t="s">
        <v>28</v>
      </c>
      <c r="H127" s="680"/>
    </row>
    <row r="128" spans="1:10" ht="69.95" customHeight="1" x14ac:dyDescent="0.3">
      <c r="A128" s="428" t="s">
        <v>29</v>
      </c>
      <c r="B128" s="429"/>
      <c r="C128" s="429"/>
      <c r="E128" s="429"/>
      <c r="F128" s="286"/>
      <c r="G128" s="430"/>
      <c r="H128" s="430"/>
    </row>
    <row r="129" spans="1:9" ht="69.95" customHeight="1" x14ac:dyDescent="0.3">
      <c r="A129" s="428" t="s">
        <v>30</v>
      </c>
      <c r="B129" s="431"/>
      <c r="C129" s="431"/>
      <c r="E129" s="431"/>
      <c r="F129" s="286"/>
      <c r="G129" s="432"/>
      <c r="H129" s="432"/>
    </row>
    <row r="130" spans="1:9" ht="18.75" x14ac:dyDescent="0.3">
      <c r="A130" s="378"/>
      <c r="B130" s="378"/>
      <c r="C130" s="379"/>
      <c r="D130" s="379"/>
      <c r="E130" s="379"/>
      <c r="F130" s="382"/>
      <c r="G130" s="379"/>
      <c r="H130" s="379"/>
      <c r="I130" s="286"/>
    </row>
    <row r="131" spans="1:9" ht="18.75" x14ac:dyDescent="0.3">
      <c r="A131" s="378"/>
      <c r="B131" s="378"/>
      <c r="C131" s="379"/>
      <c r="D131" s="379"/>
      <c r="E131" s="379"/>
      <c r="F131" s="382"/>
      <c r="G131" s="379"/>
      <c r="H131" s="379"/>
      <c r="I131" s="286"/>
    </row>
    <row r="132" spans="1:9" ht="18.75" x14ac:dyDescent="0.3">
      <c r="A132" s="378"/>
      <c r="B132" s="378"/>
      <c r="C132" s="379"/>
      <c r="D132" s="379"/>
      <c r="E132" s="379"/>
      <c r="F132" s="382"/>
      <c r="G132" s="379"/>
      <c r="H132" s="379"/>
      <c r="I132" s="286"/>
    </row>
    <row r="133" spans="1:9" ht="18.75" x14ac:dyDescent="0.3">
      <c r="A133" s="378"/>
      <c r="B133" s="378"/>
      <c r="C133" s="379"/>
      <c r="D133" s="379"/>
      <c r="E133" s="379"/>
      <c r="F133" s="382"/>
      <c r="G133" s="379"/>
      <c r="H133" s="379"/>
      <c r="I133" s="286"/>
    </row>
    <row r="134" spans="1:9" ht="18.75" x14ac:dyDescent="0.3">
      <c r="A134" s="378"/>
      <c r="B134" s="378"/>
      <c r="C134" s="379"/>
      <c r="D134" s="379"/>
      <c r="E134" s="379"/>
      <c r="F134" s="382"/>
      <c r="G134" s="379"/>
      <c r="H134" s="379"/>
      <c r="I134" s="286"/>
    </row>
    <row r="135" spans="1:9" ht="18.75" x14ac:dyDescent="0.3">
      <c r="A135" s="378"/>
      <c r="B135" s="378"/>
      <c r="C135" s="379"/>
      <c r="D135" s="379"/>
      <c r="E135" s="379"/>
      <c r="F135" s="382"/>
      <c r="G135" s="379"/>
      <c r="H135" s="379"/>
      <c r="I135" s="286"/>
    </row>
    <row r="136" spans="1:9" ht="18.75" x14ac:dyDescent="0.3">
      <c r="A136" s="378"/>
      <c r="B136" s="378"/>
      <c r="C136" s="379"/>
      <c r="D136" s="379"/>
      <c r="E136" s="379"/>
      <c r="F136" s="382"/>
      <c r="G136" s="379"/>
      <c r="H136" s="379"/>
      <c r="I136" s="286"/>
    </row>
    <row r="137" spans="1:9" ht="18.75" x14ac:dyDescent="0.3">
      <c r="A137" s="378"/>
      <c r="B137" s="378"/>
      <c r="C137" s="379"/>
      <c r="D137" s="379"/>
      <c r="E137" s="379"/>
      <c r="F137" s="382"/>
      <c r="G137" s="379"/>
      <c r="H137" s="379"/>
      <c r="I137" s="286"/>
    </row>
    <row r="138" spans="1:9" ht="18.75" x14ac:dyDescent="0.3">
      <c r="A138" s="378"/>
      <c r="B138" s="378"/>
      <c r="C138" s="379"/>
      <c r="D138" s="379"/>
      <c r="E138" s="379"/>
      <c r="F138" s="382"/>
      <c r="G138" s="379"/>
      <c r="H138" s="379"/>
      <c r="I138" s="286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activeCell="B26" sqref="B26:C26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73" t="s">
        <v>45</v>
      </c>
      <c r="B1" s="673"/>
      <c r="C1" s="673"/>
      <c r="D1" s="673"/>
      <c r="E1" s="673"/>
      <c r="F1" s="673"/>
      <c r="G1" s="673"/>
      <c r="H1" s="673"/>
      <c r="I1" s="673"/>
    </row>
    <row r="2" spans="1:9" ht="18.75" customHeight="1" x14ac:dyDescent="0.25">
      <c r="A2" s="673"/>
      <c r="B2" s="673"/>
      <c r="C2" s="673"/>
      <c r="D2" s="673"/>
      <c r="E2" s="673"/>
      <c r="F2" s="673"/>
      <c r="G2" s="673"/>
      <c r="H2" s="673"/>
      <c r="I2" s="673"/>
    </row>
    <row r="3" spans="1:9" ht="18.75" customHeight="1" x14ac:dyDescent="0.25">
      <c r="A3" s="673"/>
      <c r="B3" s="673"/>
      <c r="C3" s="673"/>
      <c r="D3" s="673"/>
      <c r="E3" s="673"/>
      <c r="F3" s="673"/>
      <c r="G3" s="673"/>
      <c r="H3" s="673"/>
      <c r="I3" s="673"/>
    </row>
    <row r="4" spans="1:9" ht="18.75" customHeight="1" x14ac:dyDescent="0.25">
      <c r="A4" s="673"/>
      <c r="B4" s="673"/>
      <c r="C4" s="673"/>
      <c r="D4" s="673"/>
      <c r="E4" s="673"/>
      <c r="F4" s="673"/>
      <c r="G4" s="673"/>
      <c r="H4" s="673"/>
      <c r="I4" s="673"/>
    </row>
    <row r="5" spans="1:9" ht="18.75" customHeight="1" x14ac:dyDescent="0.25">
      <c r="A5" s="673"/>
      <c r="B5" s="673"/>
      <c r="C5" s="673"/>
      <c r="D5" s="673"/>
      <c r="E5" s="673"/>
      <c r="F5" s="673"/>
      <c r="G5" s="673"/>
      <c r="H5" s="673"/>
      <c r="I5" s="673"/>
    </row>
    <row r="6" spans="1:9" ht="18.75" customHeight="1" x14ac:dyDescent="0.25">
      <c r="A6" s="673"/>
      <c r="B6" s="673"/>
      <c r="C6" s="673"/>
      <c r="D6" s="673"/>
      <c r="E6" s="673"/>
      <c r="F6" s="673"/>
      <c r="G6" s="673"/>
      <c r="H6" s="673"/>
      <c r="I6" s="673"/>
    </row>
    <row r="7" spans="1:9" ht="18.75" customHeight="1" x14ac:dyDescent="0.25">
      <c r="A7" s="673"/>
      <c r="B7" s="673"/>
      <c r="C7" s="673"/>
      <c r="D7" s="673"/>
      <c r="E7" s="673"/>
      <c r="F7" s="673"/>
      <c r="G7" s="673"/>
      <c r="H7" s="673"/>
      <c r="I7" s="673"/>
    </row>
    <row r="8" spans="1:9" x14ac:dyDescent="0.25">
      <c r="A8" s="674" t="s">
        <v>46</v>
      </c>
      <c r="B8" s="674"/>
      <c r="C8" s="674"/>
      <c r="D8" s="674"/>
      <c r="E8" s="674"/>
      <c r="F8" s="674"/>
      <c r="G8" s="674"/>
      <c r="H8" s="674"/>
      <c r="I8" s="674"/>
    </row>
    <row r="9" spans="1:9" x14ac:dyDescent="0.25">
      <c r="A9" s="674"/>
      <c r="B9" s="674"/>
      <c r="C9" s="674"/>
      <c r="D9" s="674"/>
      <c r="E9" s="674"/>
      <c r="F9" s="674"/>
      <c r="G9" s="674"/>
      <c r="H9" s="674"/>
      <c r="I9" s="674"/>
    </row>
    <row r="10" spans="1:9" x14ac:dyDescent="0.25">
      <c r="A10" s="674"/>
      <c r="B10" s="674"/>
      <c r="C10" s="674"/>
      <c r="D10" s="674"/>
      <c r="E10" s="674"/>
      <c r="F10" s="674"/>
      <c r="G10" s="674"/>
      <c r="H10" s="674"/>
      <c r="I10" s="674"/>
    </row>
    <row r="11" spans="1:9" x14ac:dyDescent="0.25">
      <c r="A11" s="674"/>
      <c r="B11" s="674"/>
      <c r="C11" s="674"/>
      <c r="D11" s="674"/>
      <c r="E11" s="674"/>
      <c r="F11" s="674"/>
      <c r="G11" s="674"/>
      <c r="H11" s="674"/>
      <c r="I11" s="674"/>
    </row>
    <row r="12" spans="1:9" x14ac:dyDescent="0.25">
      <c r="A12" s="674"/>
      <c r="B12" s="674"/>
      <c r="C12" s="674"/>
      <c r="D12" s="674"/>
      <c r="E12" s="674"/>
      <c r="F12" s="674"/>
      <c r="G12" s="674"/>
      <c r="H12" s="674"/>
      <c r="I12" s="674"/>
    </row>
    <row r="13" spans="1:9" x14ac:dyDescent="0.25">
      <c r="A13" s="674"/>
      <c r="B13" s="674"/>
      <c r="C13" s="674"/>
      <c r="D13" s="674"/>
      <c r="E13" s="674"/>
      <c r="F13" s="674"/>
      <c r="G13" s="674"/>
      <c r="H13" s="674"/>
      <c r="I13" s="674"/>
    </row>
    <row r="14" spans="1:9" x14ac:dyDescent="0.25">
      <c r="A14" s="674"/>
      <c r="B14" s="674"/>
      <c r="C14" s="674"/>
      <c r="D14" s="674"/>
      <c r="E14" s="674"/>
      <c r="F14" s="674"/>
      <c r="G14" s="674"/>
      <c r="H14" s="674"/>
      <c r="I14" s="674"/>
    </row>
    <row r="15" spans="1:9" ht="19.5" customHeight="1" x14ac:dyDescent="0.3">
      <c r="A15" s="474"/>
    </row>
    <row r="16" spans="1:9" ht="19.5" customHeight="1" x14ac:dyDescent="0.3">
      <c r="A16" s="706" t="s">
        <v>31</v>
      </c>
      <c r="B16" s="707"/>
      <c r="C16" s="707"/>
      <c r="D16" s="707"/>
      <c r="E16" s="707"/>
      <c r="F16" s="707"/>
      <c r="G16" s="707"/>
      <c r="H16" s="708"/>
    </row>
    <row r="17" spans="1:14" ht="20.25" customHeight="1" x14ac:dyDescent="0.25">
      <c r="A17" s="709" t="s">
        <v>47</v>
      </c>
      <c r="B17" s="709"/>
      <c r="C17" s="709"/>
      <c r="D17" s="709"/>
      <c r="E17" s="709"/>
      <c r="F17" s="709"/>
      <c r="G17" s="709"/>
      <c r="H17" s="709"/>
    </row>
    <row r="18" spans="1:14" ht="26.25" customHeight="1" x14ac:dyDescent="0.4">
      <c r="A18" s="476" t="s">
        <v>33</v>
      </c>
      <c r="B18" s="705" t="s">
        <v>5</v>
      </c>
      <c r="C18" s="705"/>
      <c r="D18" s="622"/>
      <c r="E18" s="477"/>
      <c r="F18" s="478"/>
      <c r="G18" s="478"/>
      <c r="H18" s="478"/>
    </row>
    <row r="19" spans="1:14" ht="26.25" customHeight="1" x14ac:dyDescent="0.4">
      <c r="A19" s="476" t="s">
        <v>34</v>
      </c>
      <c r="B19" s="479" t="s">
        <v>7</v>
      </c>
      <c r="C19" s="631">
        <v>1</v>
      </c>
      <c r="D19" s="478"/>
      <c r="E19" s="478"/>
      <c r="F19" s="478"/>
      <c r="G19" s="478"/>
      <c r="H19" s="478"/>
    </row>
    <row r="20" spans="1:14" ht="26.25" customHeight="1" x14ac:dyDescent="0.4">
      <c r="A20" s="476" t="s">
        <v>35</v>
      </c>
      <c r="B20" s="710" t="s">
        <v>131</v>
      </c>
      <c r="C20" s="710"/>
      <c r="D20" s="478"/>
      <c r="E20" s="478"/>
      <c r="F20" s="478"/>
      <c r="G20" s="478"/>
      <c r="H20" s="478"/>
    </row>
    <row r="21" spans="1:14" ht="26.25" customHeight="1" x14ac:dyDescent="0.4">
      <c r="A21" s="476" t="s">
        <v>36</v>
      </c>
      <c r="B21" s="710" t="s">
        <v>11</v>
      </c>
      <c r="C21" s="710"/>
      <c r="D21" s="710"/>
      <c r="E21" s="710"/>
      <c r="F21" s="710"/>
      <c r="G21" s="710"/>
      <c r="H21" s="710"/>
      <c r="I21" s="480"/>
    </row>
    <row r="22" spans="1:14" ht="26.25" customHeight="1" x14ac:dyDescent="0.4">
      <c r="A22" s="476" t="s">
        <v>37</v>
      </c>
      <c r="B22" s="481">
        <v>43039</v>
      </c>
      <c r="C22" s="478"/>
      <c r="D22" s="478"/>
      <c r="E22" s="478"/>
      <c r="F22" s="478"/>
      <c r="G22" s="478"/>
      <c r="H22" s="478"/>
    </row>
    <row r="23" spans="1:14" ht="26.25" customHeight="1" x14ac:dyDescent="0.4">
      <c r="A23" s="476" t="s">
        <v>38</v>
      </c>
      <c r="B23" s="481">
        <v>43014</v>
      </c>
      <c r="C23" s="478"/>
      <c r="D23" s="478"/>
      <c r="E23" s="478"/>
      <c r="F23" s="478"/>
      <c r="G23" s="478"/>
      <c r="H23" s="478"/>
    </row>
    <row r="24" spans="1:14" ht="18.75" x14ac:dyDescent="0.3">
      <c r="A24" s="476"/>
      <c r="B24" s="482"/>
    </row>
    <row r="25" spans="1:14" ht="18.75" x14ac:dyDescent="0.3">
      <c r="A25" s="483" t="s">
        <v>1</v>
      </c>
      <c r="B25" s="482"/>
    </row>
    <row r="26" spans="1:14" ht="26.25" customHeight="1" x14ac:dyDescent="0.4">
      <c r="A26" s="484" t="s">
        <v>4</v>
      </c>
      <c r="B26" s="705" t="s">
        <v>131</v>
      </c>
      <c r="C26" s="705"/>
    </row>
    <row r="27" spans="1:14" ht="26.25" customHeight="1" x14ac:dyDescent="0.4">
      <c r="A27" s="485" t="s">
        <v>48</v>
      </c>
      <c r="B27" s="711" t="s">
        <v>132</v>
      </c>
      <c r="C27" s="711"/>
    </row>
    <row r="28" spans="1:14" ht="27" customHeight="1" x14ac:dyDescent="0.4">
      <c r="A28" s="485" t="s">
        <v>6</v>
      </c>
      <c r="B28" s="486">
        <v>97.21</v>
      </c>
    </row>
    <row r="29" spans="1:14" s="14" customFormat="1" ht="27" customHeight="1" x14ac:dyDescent="0.4">
      <c r="A29" s="485" t="s">
        <v>49</v>
      </c>
      <c r="B29" s="487">
        <v>0</v>
      </c>
      <c r="C29" s="681" t="s">
        <v>50</v>
      </c>
      <c r="D29" s="682"/>
      <c r="E29" s="682"/>
      <c r="F29" s="682"/>
      <c r="G29" s="683"/>
      <c r="I29" s="488"/>
      <c r="J29" s="488"/>
      <c r="K29" s="488"/>
      <c r="L29" s="488"/>
    </row>
    <row r="30" spans="1:14" s="14" customFormat="1" ht="19.5" customHeight="1" x14ac:dyDescent="0.3">
      <c r="A30" s="485" t="s">
        <v>51</v>
      </c>
      <c r="B30" s="489">
        <f>B28-B29</f>
        <v>97.21</v>
      </c>
      <c r="C30" s="490"/>
      <c r="D30" s="490"/>
      <c r="E30" s="490"/>
      <c r="F30" s="490"/>
      <c r="G30" s="491"/>
      <c r="I30" s="488"/>
      <c r="J30" s="488"/>
      <c r="K30" s="488"/>
      <c r="L30" s="488"/>
    </row>
    <row r="31" spans="1:14" s="14" customFormat="1" ht="27" customHeight="1" x14ac:dyDescent="0.4">
      <c r="A31" s="485" t="s">
        <v>52</v>
      </c>
      <c r="B31" s="492">
        <v>1</v>
      </c>
      <c r="C31" s="684" t="s">
        <v>53</v>
      </c>
      <c r="D31" s="685"/>
      <c r="E31" s="685"/>
      <c r="F31" s="685"/>
      <c r="G31" s="685"/>
      <c r="H31" s="686"/>
      <c r="I31" s="488"/>
      <c r="J31" s="488"/>
      <c r="K31" s="488"/>
      <c r="L31" s="488"/>
    </row>
    <row r="32" spans="1:14" s="14" customFormat="1" ht="27" customHeight="1" x14ac:dyDescent="0.4">
      <c r="A32" s="485" t="s">
        <v>54</v>
      </c>
      <c r="B32" s="492">
        <v>1</v>
      </c>
      <c r="C32" s="684" t="s">
        <v>55</v>
      </c>
      <c r="D32" s="685"/>
      <c r="E32" s="685"/>
      <c r="F32" s="685"/>
      <c r="G32" s="685"/>
      <c r="H32" s="686"/>
      <c r="I32" s="488"/>
      <c r="J32" s="488"/>
      <c r="K32" s="488"/>
      <c r="L32" s="493"/>
      <c r="M32" s="493"/>
      <c r="N32" s="494"/>
    </row>
    <row r="33" spans="1:14" s="14" customFormat="1" ht="17.25" customHeight="1" x14ac:dyDescent="0.3">
      <c r="A33" s="485"/>
      <c r="B33" s="495"/>
      <c r="C33" s="496"/>
      <c r="D33" s="496"/>
      <c r="E33" s="496"/>
      <c r="F33" s="496"/>
      <c r="G33" s="496"/>
      <c r="H33" s="496"/>
      <c r="I33" s="488"/>
      <c r="J33" s="488"/>
      <c r="K33" s="488"/>
      <c r="L33" s="493"/>
      <c r="M33" s="493"/>
      <c r="N33" s="494"/>
    </row>
    <row r="34" spans="1:14" s="14" customFormat="1" ht="18.75" x14ac:dyDescent="0.3">
      <c r="A34" s="485" t="s">
        <v>56</v>
      </c>
      <c r="B34" s="497">
        <f>B31/B32</f>
        <v>1</v>
      </c>
      <c r="C34" s="475" t="s">
        <v>57</v>
      </c>
      <c r="D34" s="475"/>
      <c r="E34" s="475"/>
      <c r="F34" s="475"/>
      <c r="G34" s="475"/>
      <c r="I34" s="488"/>
      <c r="J34" s="488"/>
      <c r="K34" s="488"/>
      <c r="L34" s="493"/>
      <c r="M34" s="493"/>
      <c r="N34" s="494"/>
    </row>
    <row r="35" spans="1:14" s="14" customFormat="1" ht="19.5" customHeight="1" x14ac:dyDescent="0.3">
      <c r="A35" s="485"/>
      <c r="B35" s="489"/>
      <c r="G35" s="475"/>
      <c r="I35" s="488"/>
      <c r="J35" s="488"/>
      <c r="K35" s="488"/>
      <c r="L35" s="493"/>
      <c r="M35" s="493"/>
      <c r="N35" s="494"/>
    </row>
    <row r="36" spans="1:14" s="14" customFormat="1" ht="27" customHeight="1" x14ac:dyDescent="0.4">
      <c r="A36" s="498" t="s">
        <v>58</v>
      </c>
      <c r="B36" s="499">
        <v>100</v>
      </c>
      <c r="C36" s="475"/>
      <c r="D36" s="687" t="s">
        <v>59</v>
      </c>
      <c r="E36" s="712"/>
      <c r="F36" s="687" t="s">
        <v>60</v>
      </c>
      <c r="G36" s="688"/>
      <c r="J36" s="488"/>
      <c r="K36" s="488"/>
      <c r="L36" s="493"/>
      <c r="M36" s="493"/>
      <c r="N36" s="494"/>
    </row>
    <row r="37" spans="1:14" s="14" customFormat="1" ht="27" customHeight="1" x14ac:dyDescent="0.4">
      <c r="A37" s="500" t="s">
        <v>61</v>
      </c>
      <c r="B37" s="501">
        <v>1</v>
      </c>
      <c r="C37" s="502" t="s">
        <v>62</v>
      </c>
      <c r="D37" s="503" t="s">
        <v>63</v>
      </c>
      <c r="E37" s="504" t="s">
        <v>64</v>
      </c>
      <c r="F37" s="503" t="s">
        <v>63</v>
      </c>
      <c r="G37" s="505" t="s">
        <v>64</v>
      </c>
      <c r="I37" s="506" t="s">
        <v>65</v>
      </c>
      <c r="J37" s="488"/>
      <c r="K37" s="488"/>
      <c r="L37" s="493"/>
      <c r="M37" s="493"/>
      <c r="N37" s="494"/>
    </row>
    <row r="38" spans="1:14" s="14" customFormat="1" ht="26.25" customHeight="1" x14ac:dyDescent="0.4">
      <c r="A38" s="500" t="s">
        <v>66</v>
      </c>
      <c r="B38" s="501">
        <v>1</v>
      </c>
      <c r="C38" s="507">
        <v>1</v>
      </c>
      <c r="D38" s="508">
        <v>5440300</v>
      </c>
      <c r="E38" s="509">
        <f>IF(ISBLANK(D38),"-",$D$48/$D$45*D38)</f>
        <v>5497936.0085812928</v>
      </c>
      <c r="F38" s="508">
        <v>5331851</v>
      </c>
      <c r="G38" s="510">
        <f>IF(ISBLANK(F38),"-",$D$48/$F$45*F38)</f>
        <v>5551965.375954547</v>
      </c>
      <c r="I38" s="511"/>
      <c r="J38" s="488"/>
      <c r="K38" s="488"/>
      <c r="L38" s="493"/>
      <c r="M38" s="493"/>
      <c r="N38" s="494"/>
    </row>
    <row r="39" spans="1:14" s="14" customFormat="1" ht="26.25" customHeight="1" x14ac:dyDescent="0.4">
      <c r="A39" s="500" t="s">
        <v>67</v>
      </c>
      <c r="B39" s="501">
        <v>1</v>
      </c>
      <c r="C39" s="512">
        <v>2</v>
      </c>
      <c r="D39" s="513">
        <v>5429306</v>
      </c>
      <c r="E39" s="514">
        <f>IF(ISBLANK(D39),"-",$D$48/$D$45*D39)</f>
        <v>5486825.5351738809</v>
      </c>
      <c r="F39" s="513">
        <v>5300832</v>
      </c>
      <c r="G39" s="515">
        <f>IF(ISBLANK(F39),"-",$D$48/$F$45*F39)</f>
        <v>5519665.821072625</v>
      </c>
      <c r="I39" s="689">
        <f>ABS((F43/D43*D42)-F42)/D42</f>
        <v>9.2596294412294108E-3</v>
      </c>
      <c r="J39" s="488"/>
      <c r="K39" s="488"/>
      <c r="L39" s="493"/>
      <c r="M39" s="493"/>
      <c r="N39" s="494"/>
    </row>
    <row r="40" spans="1:14" ht="26.25" customHeight="1" x14ac:dyDescent="0.4">
      <c r="A40" s="500" t="s">
        <v>68</v>
      </c>
      <c r="B40" s="501">
        <v>1</v>
      </c>
      <c r="C40" s="512">
        <v>3</v>
      </c>
      <c r="D40" s="513">
        <v>5404964</v>
      </c>
      <c r="E40" s="514">
        <f>IF(ISBLANK(D40),"-",$D$48/$D$45*D40)</f>
        <v>5462225.6494468283</v>
      </c>
      <c r="F40" s="513">
        <v>5312940</v>
      </c>
      <c r="G40" s="515">
        <f>IF(ISBLANK(F40),"-",$D$48/$F$45*F40)</f>
        <v>5532273.6746626925</v>
      </c>
      <c r="I40" s="689"/>
      <c r="L40" s="493"/>
      <c r="M40" s="493"/>
      <c r="N40" s="516"/>
    </row>
    <row r="41" spans="1:14" ht="27" customHeight="1" x14ac:dyDescent="0.4">
      <c r="A41" s="500" t="s">
        <v>69</v>
      </c>
      <c r="B41" s="501">
        <v>1</v>
      </c>
      <c r="C41" s="517">
        <v>4</v>
      </c>
      <c r="D41" s="518"/>
      <c r="E41" s="519" t="str">
        <f>IF(ISBLANK(D41),"-",$D$48/$D$45*D41)</f>
        <v>-</v>
      </c>
      <c r="F41" s="518"/>
      <c r="G41" s="520" t="str">
        <f>IF(ISBLANK(F41),"-",$D$48/$F$45*F41)</f>
        <v>-</v>
      </c>
      <c r="I41" s="521"/>
      <c r="L41" s="493"/>
      <c r="M41" s="493"/>
      <c r="N41" s="516"/>
    </row>
    <row r="42" spans="1:14" ht="27" customHeight="1" x14ac:dyDescent="0.4">
      <c r="A42" s="500" t="s">
        <v>70</v>
      </c>
      <c r="B42" s="501">
        <v>1</v>
      </c>
      <c r="C42" s="522" t="s">
        <v>71</v>
      </c>
      <c r="D42" s="523">
        <f>AVERAGE(D38:D41)</f>
        <v>5424856.666666667</v>
      </c>
      <c r="E42" s="524">
        <f>AVERAGE(E38:E41)</f>
        <v>5482329.0644006673</v>
      </c>
      <c r="F42" s="523">
        <f>AVERAGE(F38:F41)</f>
        <v>5315207.666666667</v>
      </c>
      <c r="G42" s="525">
        <f>AVERAGE(G38:G41)</f>
        <v>5534634.9572299551</v>
      </c>
      <c r="H42" s="526"/>
    </row>
    <row r="43" spans="1:14" ht="26.25" customHeight="1" x14ac:dyDescent="0.4">
      <c r="A43" s="500" t="s">
        <v>72</v>
      </c>
      <c r="B43" s="501">
        <v>1</v>
      </c>
      <c r="C43" s="527" t="s">
        <v>73</v>
      </c>
      <c r="D43" s="528">
        <v>24.43</v>
      </c>
      <c r="E43" s="516"/>
      <c r="F43" s="528">
        <v>23.71</v>
      </c>
      <c r="H43" s="526"/>
    </row>
    <row r="44" spans="1:14" ht="26.25" customHeight="1" x14ac:dyDescent="0.4">
      <c r="A44" s="500" t="s">
        <v>74</v>
      </c>
      <c r="B44" s="501">
        <v>1</v>
      </c>
      <c r="C44" s="529" t="s">
        <v>75</v>
      </c>
      <c r="D44" s="530">
        <f>D43*$B$34</f>
        <v>24.43</v>
      </c>
      <c r="E44" s="531"/>
      <c r="F44" s="530">
        <f>F43*$B$34</f>
        <v>23.71</v>
      </c>
      <c r="H44" s="526"/>
    </row>
    <row r="45" spans="1:14" ht="19.5" customHeight="1" x14ac:dyDescent="0.3">
      <c r="A45" s="500" t="s">
        <v>76</v>
      </c>
      <c r="B45" s="532">
        <f>(B44/B43)*(B42/B41)*(B40/B39)*(B38/B37)*B36</f>
        <v>100</v>
      </c>
      <c r="C45" s="529" t="s">
        <v>77</v>
      </c>
      <c r="D45" s="533">
        <f>D44*$B$30/100</f>
        <v>23.748403</v>
      </c>
      <c r="E45" s="534"/>
      <c r="F45" s="533">
        <f>F44*$B$30/100</f>
        <v>23.048490999999999</v>
      </c>
      <c r="H45" s="526"/>
    </row>
    <row r="46" spans="1:14" ht="19.5" customHeight="1" x14ac:dyDescent="0.3">
      <c r="A46" s="675" t="s">
        <v>78</v>
      </c>
      <c r="B46" s="676"/>
      <c r="C46" s="529" t="s">
        <v>79</v>
      </c>
      <c r="D46" s="535">
        <f>D45/$B$45</f>
        <v>0.23748402999999998</v>
      </c>
      <c r="E46" s="536"/>
      <c r="F46" s="537">
        <f>F45/$B$45</f>
        <v>0.23048490999999999</v>
      </c>
      <c r="H46" s="526"/>
    </row>
    <row r="47" spans="1:14" ht="27" customHeight="1" x14ac:dyDescent="0.4">
      <c r="A47" s="677"/>
      <c r="B47" s="678"/>
      <c r="C47" s="538" t="s">
        <v>80</v>
      </c>
      <c r="D47" s="539">
        <v>0.24</v>
      </c>
      <c r="E47" s="540"/>
      <c r="F47" s="536"/>
      <c r="H47" s="526"/>
    </row>
    <row r="48" spans="1:14" ht="18.75" x14ac:dyDescent="0.3">
      <c r="C48" s="541" t="s">
        <v>81</v>
      </c>
      <c r="D48" s="533">
        <f>D47*$B$45</f>
        <v>24</v>
      </c>
      <c r="F48" s="542"/>
      <c r="H48" s="526"/>
    </row>
    <row r="49" spans="1:12" ht="19.5" customHeight="1" x14ac:dyDescent="0.3">
      <c r="C49" s="543" t="s">
        <v>82</v>
      </c>
      <c r="D49" s="544">
        <f>D48/B34</f>
        <v>24</v>
      </c>
      <c r="F49" s="542"/>
      <c r="H49" s="526"/>
    </row>
    <row r="50" spans="1:12" ht="18.75" x14ac:dyDescent="0.3">
      <c r="C50" s="498" t="s">
        <v>83</v>
      </c>
      <c r="D50" s="545">
        <f>AVERAGE(E38:E41,G38:G41)</f>
        <v>5508482.0108153112</v>
      </c>
      <c r="F50" s="546"/>
      <c r="H50" s="526"/>
    </row>
    <row r="51" spans="1:12" ht="18.75" x14ac:dyDescent="0.3">
      <c r="C51" s="500" t="s">
        <v>84</v>
      </c>
      <c r="D51" s="547">
        <f>STDEV(E38:E41,G38:G41)/D50</f>
        <v>5.9114574588253008E-3</v>
      </c>
      <c r="F51" s="546"/>
      <c r="H51" s="526"/>
    </row>
    <row r="52" spans="1:12" ht="19.5" customHeight="1" x14ac:dyDescent="0.3">
      <c r="C52" s="548" t="s">
        <v>20</v>
      </c>
      <c r="D52" s="549">
        <f>COUNT(E38:E41,G38:G41)</f>
        <v>6</v>
      </c>
      <c r="F52" s="546"/>
    </row>
    <row r="54" spans="1:12" ht="18.75" x14ac:dyDescent="0.3">
      <c r="A54" s="550" t="s">
        <v>1</v>
      </c>
      <c r="B54" s="551" t="s">
        <v>85</v>
      </c>
    </row>
    <row r="55" spans="1:12" ht="18.75" x14ac:dyDescent="0.3">
      <c r="A55" s="475" t="s">
        <v>86</v>
      </c>
      <c r="B55" s="552" t="str">
        <f>B21</f>
        <v>Each film coated tablet contains: Tenofovir disoproxil fumarate 300 mg, Lamivudine USP 300 mg and Efavirenz USP 600 mg.</v>
      </c>
    </row>
    <row r="56" spans="1:12" ht="26.25" customHeight="1" x14ac:dyDescent="0.4">
      <c r="A56" s="553" t="s">
        <v>87</v>
      </c>
      <c r="B56" s="554">
        <v>600</v>
      </c>
      <c r="C56" s="475" t="str">
        <f>B20</f>
        <v>Efavirenz</v>
      </c>
      <c r="H56" s="555"/>
    </row>
    <row r="57" spans="1:12" ht="18.75" x14ac:dyDescent="0.3">
      <c r="A57" s="552" t="s">
        <v>88</v>
      </c>
      <c r="B57" s="623">
        <f>Uniformity!C46</f>
        <v>1901.1464999999996</v>
      </c>
      <c r="H57" s="555"/>
    </row>
    <row r="58" spans="1:12" ht="19.5" customHeight="1" x14ac:dyDescent="0.3">
      <c r="H58" s="555"/>
    </row>
    <row r="59" spans="1:12" s="14" customFormat="1" ht="27" customHeight="1" x14ac:dyDescent="0.4">
      <c r="A59" s="498" t="s">
        <v>89</v>
      </c>
      <c r="B59" s="499">
        <v>200</v>
      </c>
      <c r="C59" s="475"/>
      <c r="D59" s="556" t="s">
        <v>90</v>
      </c>
      <c r="E59" s="557" t="s">
        <v>62</v>
      </c>
      <c r="F59" s="557" t="s">
        <v>63</v>
      </c>
      <c r="G59" s="557" t="s">
        <v>91</v>
      </c>
      <c r="H59" s="502" t="s">
        <v>92</v>
      </c>
      <c r="L59" s="488"/>
    </row>
    <row r="60" spans="1:12" s="14" customFormat="1" ht="26.25" customHeight="1" x14ac:dyDescent="0.4">
      <c r="A60" s="500" t="s">
        <v>93</v>
      </c>
      <c r="B60" s="501">
        <v>4</v>
      </c>
      <c r="C60" s="692" t="s">
        <v>94</v>
      </c>
      <c r="D60" s="695">
        <v>1898.46</v>
      </c>
      <c r="E60" s="558">
        <v>1</v>
      </c>
      <c r="F60" s="559">
        <v>5200979</v>
      </c>
      <c r="G60" s="624">
        <f>IF(ISBLANK(F60),"-",(F60/$D$50*$D$47*$B$68)*($B$57/$D$60))</f>
        <v>567.30753035599093</v>
      </c>
      <c r="H60" s="642">
        <f t="shared" ref="H60:H71" si="0">IF(ISBLANK(F60),"-",(G60/$B$56)*100)</f>
        <v>94.551255059331822</v>
      </c>
      <c r="L60" s="488"/>
    </row>
    <row r="61" spans="1:12" s="14" customFormat="1" ht="26.25" customHeight="1" x14ac:dyDescent="0.4">
      <c r="A61" s="500" t="s">
        <v>95</v>
      </c>
      <c r="B61" s="501">
        <v>50</v>
      </c>
      <c r="C61" s="693"/>
      <c r="D61" s="696"/>
      <c r="E61" s="560">
        <v>2</v>
      </c>
      <c r="F61" s="513">
        <v>5244886</v>
      </c>
      <c r="G61" s="625">
        <f>IF(ISBLANK(F61),"-",(F61/$D$50*$D$47*$B$68)*($B$57/$D$60))</f>
        <v>572.09677709883306</v>
      </c>
      <c r="H61" s="643">
        <f t="shared" si="0"/>
        <v>95.349462849805505</v>
      </c>
      <c r="L61" s="488"/>
    </row>
    <row r="62" spans="1:12" s="14" customFormat="1" ht="26.25" customHeight="1" x14ac:dyDescent="0.4">
      <c r="A62" s="500" t="s">
        <v>96</v>
      </c>
      <c r="B62" s="501">
        <v>1</v>
      </c>
      <c r="C62" s="693"/>
      <c r="D62" s="696"/>
      <c r="E62" s="560">
        <v>3</v>
      </c>
      <c r="F62" s="561">
        <v>5115813</v>
      </c>
      <c r="G62" s="625">
        <f>IF(ISBLANK(F62),"-",(F62/$D$50*$D$47*$B$68)*($B$57/$D$60))</f>
        <v>558.01787294143526</v>
      </c>
      <c r="H62" s="643">
        <f t="shared" si="0"/>
        <v>93.002978823572548</v>
      </c>
      <c r="L62" s="488"/>
    </row>
    <row r="63" spans="1:12" ht="27" customHeight="1" x14ac:dyDescent="0.4">
      <c r="A63" s="500" t="s">
        <v>97</v>
      </c>
      <c r="B63" s="501">
        <v>1</v>
      </c>
      <c r="C63" s="702"/>
      <c r="D63" s="697"/>
      <c r="E63" s="562">
        <v>4</v>
      </c>
      <c r="F63" s="563"/>
      <c r="G63" s="625" t="str">
        <f>IF(ISBLANK(F63),"-",(F63/$D$50*$D$47*$B$68)*($B$57/$D$60))</f>
        <v>-</v>
      </c>
      <c r="H63" s="643" t="str">
        <f t="shared" si="0"/>
        <v>-</v>
      </c>
    </row>
    <row r="64" spans="1:12" ht="26.25" customHeight="1" x14ac:dyDescent="0.4">
      <c r="A64" s="500" t="s">
        <v>98</v>
      </c>
      <c r="B64" s="501">
        <v>1</v>
      </c>
      <c r="C64" s="692" t="s">
        <v>99</v>
      </c>
      <c r="D64" s="695">
        <v>1908.95</v>
      </c>
      <c r="E64" s="558">
        <v>1</v>
      </c>
      <c r="F64" s="559">
        <v>5304031</v>
      </c>
      <c r="G64" s="624">
        <f>IF(ISBLANK(F64),"-",(F64/$D$50*$D$47*$B$68)*($B$57/$D$64))</f>
        <v>575.36892123811583</v>
      </c>
      <c r="H64" s="642">
        <f t="shared" si="0"/>
        <v>95.894820206352634</v>
      </c>
    </row>
    <row r="65" spans="1:8" ht="26.25" customHeight="1" x14ac:dyDescent="0.4">
      <c r="A65" s="500" t="s">
        <v>100</v>
      </c>
      <c r="B65" s="501">
        <v>1</v>
      </c>
      <c r="C65" s="693"/>
      <c r="D65" s="696"/>
      <c r="E65" s="560">
        <v>2</v>
      </c>
      <c r="F65" s="513">
        <v>5304628</v>
      </c>
      <c r="G65" s="625">
        <f>IF(ISBLANK(F65),"-",(F65/$D$50*$D$47*$B$68)*($B$57/$D$64))</f>
        <v>575.43368240673999</v>
      </c>
      <c r="H65" s="643">
        <f t="shared" si="0"/>
        <v>95.905613734456665</v>
      </c>
    </row>
    <row r="66" spans="1:8" ht="26.25" customHeight="1" x14ac:dyDescent="0.4">
      <c r="A66" s="500" t="s">
        <v>101</v>
      </c>
      <c r="B66" s="501">
        <v>1</v>
      </c>
      <c r="C66" s="693"/>
      <c r="D66" s="696"/>
      <c r="E66" s="560">
        <v>3</v>
      </c>
      <c r="F66" s="513">
        <v>5257823</v>
      </c>
      <c r="G66" s="625">
        <f>IF(ISBLANK(F66),"-",(F66/$D$50*$D$47*$B$68)*($B$57/$D$64))</f>
        <v>570.35638509106639</v>
      </c>
      <c r="H66" s="643">
        <f t="shared" si="0"/>
        <v>95.059397515177736</v>
      </c>
    </row>
    <row r="67" spans="1:8" ht="27" customHeight="1" x14ac:dyDescent="0.4">
      <c r="A67" s="500" t="s">
        <v>102</v>
      </c>
      <c r="B67" s="501">
        <v>1</v>
      </c>
      <c r="C67" s="702"/>
      <c r="D67" s="697"/>
      <c r="E67" s="562">
        <v>4</v>
      </c>
      <c r="F67" s="563"/>
      <c r="G67" s="641" t="str">
        <f>IF(ISBLANK(F67),"-",(F67/$D$50*$D$47*$B$68)*($B$57/$D$64))</f>
        <v>-</v>
      </c>
      <c r="H67" s="644" t="str">
        <f t="shared" si="0"/>
        <v>-</v>
      </c>
    </row>
    <row r="68" spans="1:8" ht="26.25" customHeight="1" x14ac:dyDescent="0.4">
      <c r="A68" s="500" t="s">
        <v>103</v>
      </c>
      <c r="B68" s="564">
        <f>(B67/B66)*(B65/B64)*(B63/B62)*(B61/B60)*B59</f>
        <v>2500</v>
      </c>
      <c r="C68" s="692" t="s">
        <v>104</v>
      </c>
      <c r="D68" s="695">
        <v>1904.68</v>
      </c>
      <c r="E68" s="558">
        <v>1</v>
      </c>
      <c r="F68" s="559">
        <v>5236339</v>
      </c>
      <c r="G68" s="624">
        <f>IF(ISBLANK(F68),"-",(F68/$D$50*$D$47*$B$68)*($B$57/$D$68))</f>
        <v>569.29927755042252</v>
      </c>
      <c r="H68" s="643">
        <f t="shared" si="0"/>
        <v>94.88321292507041</v>
      </c>
    </row>
    <row r="69" spans="1:8" ht="27" customHeight="1" x14ac:dyDescent="0.4">
      <c r="A69" s="548" t="s">
        <v>105</v>
      </c>
      <c r="B69" s="565">
        <f>(D47*B68)/B56*B57</f>
        <v>1901.1464999999996</v>
      </c>
      <c r="C69" s="693"/>
      <c r="D69" s="696"/>
      <c r="E69" s="560">
        <v>2</v>
      </c>
      <c r="F69" s="513">
        <v>5213511</v>
      </c>
      <c r="G69" s="625">
        <f>IF(ISBLANK(F69),"-",(F69/$D$50*$D$47*$B$68)*($B$57/$D$68))</f>
        <v>566.81739776610732</v>
      </c>
      <c r="H69" s="643">
        <f t="shared" si="0"/>
        <v>94.46956629435121</v>
      </c>
    </row>
    <row r="70" spans="1:8" ht="26.25" customHeight="1" x14ac:dyDescent="0.4">
      <c r="A70" s="698" t="s">
        <v>78</v>
      </c>
      <c r="B70" s="699"/>
      <c r="C70" s="693"/>
      <c r="D70" s="696"/>
      <c r="E70" s="560">
        <v>3</v>
      </c>
      <c r="F70" s="513">
        <v>5255493</v>
      </c>
      <c r="G70" s="625">
        <f>IF(ISBLANK(F70),"-",(F70/$D$50*$D$47*$B$68)*($B$57/$D$68))</f>
        <v>571.38171689634737</v>
      </c>
      <c r="H70" s="643">
        <f t="shared" si="0"/>
        <v>95.230286149391233</v>
      </c>
    </row>
    <row r="71" spans="1:8" ht="27" customHeight="1" x14ac:dyDescent="0.4">
      <c r="A71" s="700"/>
      <c r="B71" s="701"/>
      <c r="C71" s="694"/>
      <c r="D71" s="697"/>
      <c r="E71" s="562">
        <v>4</v>
      </c>
      <c r="F71" s="563"/>
      <c r="G71" s="641" t="str">
        <f>IF(ISBLANK(F71),"-",(F71/$D$50*$D$47*$B$68)*($B$57/$D$68))</f>
        <v>-</v>
      </c>
      <c r="H71" s="644" t="str">
        <f t="shared" si="0"/>
        <v>-</v>
      </c>
    </row>
    <row r="72" spans="1:8" ht="26.25" customHeight="1" x14ac:dyDescent="0.4">
      <c r="A72" s="566"/>
      <c r="B72" s="566"/>
      <c r="C72" s="566"/>
      <c r="D72" s="566"/>
      <c r="E72" s="566"/>
      <c r="F72" s="568" t="s">
        <v>71</v>
      </c>
      <c r="G72" s="630">
        <f>AVERAGE(G60:G71)</f>
        <v>569.56439570500652</v>
      </c>
      <c r="H72" s="645">
        <f>AVERAGE(H60:H71)</f>
        <v>94.927399284167748</v>
      </c>
    </row>
    <row r="73" spans="1:8" ht="26.25" customHeight="1" x14ac:dyDescent="0.4">
      <c r="C73" s="566"/>
      <c r="D73" s="566"/>
      <c r="E73" s="566"/>
      <c r="F73" s="569" t="s">
        <v>84</v>
      </c>
      <c r="G73" s="629">
        <f>STDEV(G60:G71)/G72</f>
        <v>9.3011284917219467E-3</v>
      </c>
      <c r="H73" s="629">
        <f>STDEV(H60:H71)/H72</f>
        <v>9.3011284917219345E-3</v>
      </c>
    </row>
    <row r="74" spans="1:8" ht="27" customHeight="1" x14ac:dyDescent="0.4">
      <c r="A74" s="566"/>
      <c r="B74" s="566"/>
      <c r="C74" s="567"/>
      <c r="D74" s="567"/>
      <c r="E74" s="570"/>
      <c r="F74" s="571" t="s">
        <v>20</v>
      </c>
      <c r="G74" s="572">
        <f>COUNT(G60:G71)</f>
        <v>9</v>
      </c>
      <c r="H74" s="572">
        <f>COUNT(H60:H71)</f>
        <v>9</v>
      </c>
    </row>
    <row r="76" spans="1:8" ht="26.25" customHeight="1" x14ac:dyDescent="0.4">
      <c r="A76" s="484" t="s">
        <v>106</v>
      </c>
      <c r="B76" s="573" t="s">
        <v>107</v>
      </c>
      <c r="C76" s="679" t="str">
        <f>B26</f>
        <v>Efavirenz</v>
      </c>
      <c r="D76" s="679"/>
      <c r="E76" s="574" t="s">
        <v>108</v>
      </c>
      <c r="F76" s="574"/>
      <c r="G76" s="661">
        <f>H72</f>
        <v>94.927399284167748</v>
      </c>
      <c r="H76" s="576"/>
    </row>
    <row r="77" spans="1:8" ht="18.75" x14ac:dyDescent="0.3">
      <c r="A77" s="483" t="s">
        <v>109</v>
      </c>
      <c r="B77" s="483" t="s">
        <v>110</v>
      </c>
    </row>
    <row r="78" spans="1:8" ht="18.75" x14ac:dyDescent="0.3">
      <c r="A78" s="483"/>
      <c r="B78" s="483"/>
    </row>
    <row r="79" spans="1:8" ht="26.25" customHeight="1" x14ac:dyDescent="0.4">
      <c r="A79" s="484" t="s">
        <v>4</v>
      </c>
      <c r="B79" s="713" t="str">
        <f>B26</f>
        <v>Efavirenz</v>
      </c>
      <c r="C79" s="713"/>
    </row>
    <row r="80" spans="1:8" ht="26.25" customHeight="1" x14ac:dyDescent="0.4">
      <c r="A80" s="485" t="s">
        <v>48</v>
      </c>
      <c r="B80" s="713" t="str">
        <f>B27</f>
        <v>E15-6</v>
      </c>
      <c r="C80" s="713"/>
    </row>
    <row r="81" spans="1:12" ht="27" customHeight="1" x14ac:dyDescent="0.4">
      <c r="A81" s="485" t="s">
        <v>6</v>
      </c>
      <c r="B81" s="577">
        <f>B28</f>
        <v>97.21</v>
      </c>
    </row>
    <row r="82" spans="1:12" s="14" customFormat="1" ht="27" customHeight="1" x14ac:dyDescent="0.4">
      <c r="A82" s="485" t="s">
        <v>49</v>
      </c>
      <c r="B82" s="487">
        <v>0</v>
      </c>
      <c r="C82" s="681" t="s">
        <v>50</v>
      </c>
      <c r="D82" s="682"/>
      <c r="E82" s="682"/>
      <c r="F82" s="682"/>
      <c r="G82" s="683"/>
      <c r="I82" s="488"/>
      <c r="J82" s="488"/>
      <c r="K82" s="488"/>
      <c r="L82" s="488"/>
    </row>
    <row r="83" spans="1:12" s="14" customFormat="1" ht="19.5" customHeight="1" x14ac:dyDescent="0.3">
      <c r="A83" s="485" t="s">
        <v>51</v>
      </c>
      <c r="B83" s="489">
        <f>B81-B82</f>
        <v>97.21</v>
      </c>
      <c r="C83" s="490"/>
      <c r="D83" s="490"/>
      <c r="E83" s="490"/>
      <c r="F83" s="490"/>
      <c r="G83" s="491"/>
      <c r="I83" s="488"/>
      <c r="J83" s="488"/>
      <c r="K83" s="488"/>
      <c r="L83" s="488"/>
    </row>
    <row r="84" spans="1:12" s="14" customFormat="1" ht="27" customHeight="1" x14ac:dyDescent="0.4">
      <c r="A84" s="485" t="s">
        <v>52</v>
      </c>
      <c r="B84" s="492">
        <v>1</v>
      </c>
      <c r="C84" s="684" t="s">
        <v>111</v>
      </c>
      <c r="D84" s="685"/>
      <c r="E84" s="685"/>
      <c r="F84" s="685"/>
      <c r="G84" s="685"/>
      <c r="H84" s="686"/>
      <c r="I84" s="488"/>
      <c r="J84" s="488"/>
      <c r="K84" s="488"/>
      <c r="L84" s="488"/>
    </row>
    <row r="85" spans="1:12" s="14" customFormat="1" ht="27" customHeight="1" x14ac:dyDescent="0.4">
      <c r="A85" s="485" t="s">
        <v>54</v>
      </c>
      <c r="B85" s="492">
        <v>1</v>
      </c>
      <c r="C85" s="684" t="s">
        <v>112</v>
      </c>
      <c r="D85" s="685"/>
      <c r="E85" s="685"/>
      <c r="F85" s="685"/>
      <c r="G85" s="685"/>
      <c r="H85" s="686"/>
      <c r="I85" s="488"/>
      <c r="J85" s="488"/>
      <c r="K85" s="488"/>
      <c r="L85" s="488"/>
    </row>
    <row r="86" spans="1:12" s="14" customFormat="1" ht="18.75" x14ac:dyDescent="0.3">
      <c r="A86" s="485"/>
      <c r="B86" s="495"/>
      <c r="C86" s="496"/>
      <c r="D86" s="496"/>
      <c r="E86" s="496"/>
      <c r="F86" s="496"/>
      <c r="G86" s="496"/>
      <c r="H86" s="496"/>
      <c r="I86" s="488"/>
      <c r="J86" s="488"/>
      <c r="K86" s="488"/>
      <c r="L86" s="488"/>
    </row>
    <row r="87" spans="1:12" s="14" customFormat="1" ht="18.75" x14ac:dyDescent="0.3">
      <c r="A87" s="485" t="s">
        <v>56</v>
      </c>
      <c r="B87" s="497">
        <f>B84/B85</f>
        <v>1</v>
      </c>
      <c r="C87" s="475" t="s">
        <v>57</v>
      </c>
      <c r="D87" s="475"/>
      <c r="E87" s="475"/>
      <c r="F87" s="475"/>
      <c r="G87" s="475"/>
      <c r="I87" s="488"/>
      <c r="J87" s="488"/>
      <c r="K87" s="488"/>
      <c r="L87" s="488"/>
    </row>
    <row r="88" spans="1:12" ht="19.5" customHeight="1" x14ac:dyDescent="0.3">
      <c r="A88" s="483"/>
      <c r="B88" s="483"/>
    </row>
    <row r="89" spans="1:12" ht="27" customHeight="1" x14ac:dyDescent="0.4">
      <c r="A89" s="498" t="s">
        <v>58</v>
      </c>
      <c r="B89" s="499">
        <v>50</v>
      </c>
      <c r="D89" s="578" t="s">
        <v>59</v>
      </c>
      <c r="E89" s="579"/>
      <c r="F89" s="687" t="s">
        <v>60</v>
      </c>
      <c r="G89" s="688"/>
    </row>
    <row r="90" spans="1:12" ht="27" customHeight="1" x14ac:dyDescent="0.4">
      <c r="A90" s="500" t="s">
        <v>61</v>
      </c>
      <c r="B90" s="501">
        <v>1</v>
      </c>
      <c r="C90" s="580" t="s">
        <v>62</v>
      </c>
      <c r="D90" s="503" t="s">
        <v>63</v>
      </c>
      <c r="E90" s="504" t="s">
        <v>64</v>
      </c>
      <c r="F90" s="503" t="s">
        <v>63</v>
      </c>
      <c r="G90" s="581" t="s">
        <v>64</v>
      </c>
      <c r="I90" s="506" t="s">
        <v>65</v>
      </c>
    </row>
    <row r="91" spans="1:12" ht="26.25" customHeight="1" x14ac:dyDescent="0.4">
      <c r="A91" s="500" t="s">
        <v>66</v>
      </c>
      <c r="B91" s="501">
        <v>1</v>
      </c>
      <c r="C91" s="582">
        <v>1</v>
      </c>
      <c r="D91" s="508">
        <v>2134178</v>
      </c>
      <c r="E91" s="509">
        <f>IF(ISBLANK(D91),"-",$D$101/$D$98*D91)</f>
        <v>2258673.3654982238</v>
      </c>
      <c r="F91" s="508">
        <v>2223436</v>
      </c>
      <c r="G91" s="510">
        <f>IF(ISBLANK(F91),"-",$D$101/$F$98*F91)</f>
        <v>2260873.4262530874</v>
      </c>
      <c r="I91" s="511"/>
    </row>
    <row r="92" spans="1:12" ht="26.25" customHeight="1" x14ac:dyDescent="0.4">
      <c r="A92" s="500" t="s">
        <v>67</v>
      </c>
      <c r="B92" s="501">
        <v>1</v>
      </c>
      <c r="C92" s="567">
        <v>2</v>
      </c>
      <c r="D92" s="513">
        <v>2133255</v>
      </c>
      <c r="E92" s="514">
        <f>IF(ISBLANK(D92),"-",$D$101/$D$98*D92)</f>
        <v>2257696.5231184624</v>
      </c>
      <c r="F92" s="513">
        <v>2239785</v>
      </c>
      <c r="G92" s="515">
        <f>IF(ISBLANK(F92),"-",$D$101/$F$98*F92)</f>
        <v>2277497.7049126988</v>
      </c>
      <c r="I92" s="689">
        <f>ABS((F96/D96*D95)-F95)/D95</f>
        <v>8.3971436253719185E-3</v>
      </c>
    </row>
    <row r="93" spans="1:12" ht="26.25" customHeight="1" x14ac:dyDescent="0.4">
      <c r="A93" s="500" t="s">
        <v>68</v>
      </c>
      <c r="B93" s="501">
        <v>1</v>
      </c>
      <c r="C93" s="567">
        <v>3</v>
      </c>
      <c r="D93" s="513">
        <v>2132904</v>
      </c>
      <c r="E93" s="514">
        <f>IF(ISBLANK(D93),"-",$D$101/$D$98*D93)</f>
        <v>2257325.0478472854</v>
      </c>
      <c r="F93" s="513">
        <v>2252054</v>
      </c>
      <c r="G93" s="515">
        <f>IF(ISBLANK(F93),"-",$D$101/$F$98*F93)</f>
        <v>2289973.285980334</v>
      </c>
      <c r="I93" s="689"/>
    </row>
    <row r="94" spans="1:12" ht="27" customHeight="1" x14ac:dyDescent="0.4">
      <c r="A94" s="500" t="s">
        <v>69</v>
      </c>
      <c r="B94" s="501">
        <v>1</v>
      </c>
      <c r="C94" s="583">
        <v>4</v>
      </c>
      <c r="D94" s="518"/>
      <c r="E94" s="519" t="str">
        <f>IF(ISBLANK(D94),"-",$D$101/$D$98*D94)</f>
        <v>-</v>
      </c>
      <c r="F94" s="584"/>
      <c r="G94" s="520" t="str">
        <f>IF(ISBLANK(F94),"-",$D$101/$F$98*F94)</f>
        <v>-</v>
      </c>
      <c r="I94" s="521"/>
    </row>
    <row r="95" spans="1:12" ht="27" customHeight="1" x14ac:dyDescent="0.4">
      <c r="A95" s="500" t="s">
        <v>70</v>
      </c>
      <c r="B95" s="501">
        <v>1</v>
      </c>
      <c r="C95" s="585" t="s">
        <v>71</v>
      </c>
      <c r="D95" s="586">
        <f>AVERAGE(D91:D94)</f>
        <v>2133445.6666666665</v>
      </c>
      <c r="E95" s="524">
        <f>AVERAGE(E91:E94)</f>
        <v>2257898.3121546577</v>
      </c>
      <c r="F95" s="587">
        <f>AVERAGE(F91:F94)</f>
        <v>2238425</v>
      </c>
      <c r="G95" s="588">
        <f>AVERAGE(G91:G94)</f>
        <v>2276114.8057153733</v>
      </c>
    </row>
    <row r="96" spans="1:12" ht="26.25" customHeight="1" x14ac:dyDescent="0.4">
      <c r="A96" s="500" t="s">
        <v>72</v>
      </c>
      <c r="B96" s="486">
        <v>1</v>
      </c>
      <c r="C96" s="589" t="s">
        <v>113</v>
      </c>
      <c r="D96" s="590">
        <v>29.16</v>
      </c>
      <c r="E96" s="516"/>
      <c r="F96" s="528">
        <v>30.35</v>
      </c>
    </row>
    <row r="97" spans="1:10" ht="26.25" customHeight="1" x14ac:dyDescent="0.4">
      <c r="A97" s="500" t="s">
        <v>74</v>
      </c>
      <c r="B97" s="486">
        <v>1</v>
      </c>
      <c r="C97" s="591" t="s">
        <v>114</v>
      </c>
      <c r="D97" s="592">
        <f>D96*$B$87</f>
        <v>29.16</v>
      </c>
      <c r="E97" s="531"/>
      <c r="F97" s="530">
        <f>F96*$B$87</f>
        <v>30.35</v>
      </c>
    </row>
    <row r="98" spans="1:10" ht="19.5" customHeight="1" x14ac:dyDescent="0.3">
      <c r="A98" s="500" t="s">
        <v>76</v>
      </c>
      <c r="B98" s="593">
        <f>(B97/B96)*(B95/B94)*(B93/B92)*(B91/B90)*B89</f>
        <v>50</v>
      </c>
      <c r="C98" s="591" t="s">
        <v>115</v>
      </c>
      <c r="D98" s="594">
        <f>D97*$B$83/100</f>
        <v>28.346435999999997</v>
      </c>
      <c r="E98" s="534"/>
      <c r="F98" s="533">
        <f>F97*$B$83/100</f>
        <v>29.503235</v>
      </c>
    </row>
    <row r="99" spans="1:10" ht="19.5" customHeight="1" x14ac:dyDescent="0.3">
      <c r="A99" s="675" t="s">
        <v>78</v>
      </c>
      <c r="B99" s="690"/>
      <c r="C99" s="591" t="s">
        <v>116</v>
      </c>
      <c r="D99" s="595">
        <f>D98/$B$98</f>
        <v>0.56692871999999994</v>
      </c>
      <c r="E99" s="534"/>
      <c r="F99" s="537">
        <f>F98/$B$98</f>
        <v>0.5900647</v>
      </c>
      <c r="G99" s="596"/>
      <c r="H99" s="526"/>
    </row>
    <row r="100" spans="1:10" ht="19.5" customHeight="1" x14ac:dyDescent="0.3">
      <c r="A100" s="677"/>
      <c r="B100" s="691"/>
      <c r="C100" s="591" t="s">
        <v>80</v>
      </c>
      <c r="D100" s="597">
        <f>$B$56/$B$116</f>
        <v>0.6</v>
      </c>
      <c r="F100" s="542"/>
      <c r="G100" s="598"/>
      <c r="H100" s="526"/>
    </row>
    <row r="101" spans="1:10" ht="18.75" x14ac:dyDescent="0.3">
      <c r="C101" s="591" t="s">
        <v>81</v>
      </c>
      <c r="D101" s="592">
        <f>D100*$B$98</f>
        <v>30</v>
      </c>
      <c r="F101" s="542"/>
      <c r="G101" s="596"/>
      <c r="H101" s="526"/>
    </row>
    <row r="102" spans="1:10" ht="19.5" customHeight="1" x14ac:dyDescent="0.3">
      <c r="C102" s="599" t="s">
        <v>82</v>
      </c>
      <c r="D102" s="600">
        <f>D101/B34</f>
        <v>30</v>
      </c>
      <c r="F102" s="546"/>
      <c r="G102" s="596"/>
      <c r="H102" s="526"/>
      <c r="J102" s="601"/>
    </row>
    <row r="103" spans="1:10" ht="18.75" x14ac:dyDescent="0.3">
      <c r="C103" s="602" t="s">
        <v>117</v>
      </c>
      <c r="D103" s="603">
        <f>AVERAGE(E91:E94,G91:G94)</f>
        <v>2267006.5589350155</v>
      </c>
      <c r="F103" s="546"/>
      <c r="G103" s="604"/>
      <c r="H103" s="526"/>
      <c r="J103" s="605"/>
    </row>
    <row r="104" spans="1:10" ht="18.75" x14ac:dyDescent="0.3">
      <c r="C104" s="569" t="s">
        <v>84</v>
      </c>
      <c r="D104" s="606">
        <f>STDEV(E91:E94,G91:G94)/D103</f>
        <v>5.9997508548341348E-3</v>
      </c>
      <c r="F104" s="546"/>
      <c r="G104" s="596"/>
      <c r="H104" s="526"/>
      <c r="J104" s="605"/>
    </row>
    <row r="105" spans="1:10" ht="19.5" customHeight="1" x14ac:dyDescent="0.3">
      <c r="C105" s="571" t="s">
        <v>20</v>
      </c>
      <c r="D105" s="607">
        <f>COUNT(E91:E94,G91:G94)</f>
        <v>6</v>
      </c>
      <c r="F105" s="546"/>
      <c r="G105" s="596"/>
      <c r="H105" s="526"/>
      <c r="J105" s="605"/>
    </row>
    <row r="106" spans="1:10" ht="19.5" customHeight="1" x14ac:dyDescent="0.3">
      <c r="A106" s="550"/>
      <c r="B106" s="550"/>
      <c r="C106" s="550"/>
      <c r="D106" s="550"/>
      <c r="E106" s="550"/>
    </row>
    <row r="107" spans="1:10" ht="27" customHeight="1" x14ac:dyDescent="0.4">
      <c r="A107" s="498" t="s">
        <v>118</v>
      </c>
      <c r="B107" s="499">
        <v>1000</v>
      </c>
      <c r="C107" s="646" t="s">
        <v>119</v>
      </c>
      <c r="D107" s="646" t="s">
        <v>63</v>
      </c>
      <c r="E107" s="646" t="s">
        <v>120</v>
      </c>
      <c r="F107" s="608" t="s">
        <v>121</v>
      </c>
    </row>
    <row r="108" spans="1:10" ht="26.25" customHeight="1" x14ac:dyDescent="0.4">
      <c r="A108" s="500" t="s">
        <v>122</v>
      </c>
      <c r="B108" s="501">
        <v>1</v>
      </c>
      <c r="C108" s="651">
        <v>1</v>
      </c>
      <c r="D108" s="652">
        <v>2160089</v>
      </c>
      <c r="E108" s="626">
        <f t="shared" ref="E108:E113" si="1">IF(ISBLANK(D108),"-",D108/$D$103*$D$100*$B$116)</f>
        <v>571.70253649766869</v>
      </c>
      <c r="F108" s="653">
        <f t="shared" ref="F108:F113" si="2">IF(ISBLANK(D108), "-", (E108/$B$56)*100)</f>
        <v>95.283756082944777</v>
      </c>
    </row>
    <row r="109" spans="1:10" ht="26.25" customHeight="1" x14ac:dyDescent="0.4">
      <c r="A109" s="500" t="s">
        <v>95</v>
      </c>
      <c r="B109" s="501">
        <v>1</v>
      </c>
      <c r="C109" s="647">
        <v>2</v>
      </c>
      <c r="D109" s="649">
        <v>2126493</v>
      </c>
      <c r="E109" s="627">
        <f t="shared" si="1"/>
        <v>562.81081101035045</v>
      </c>
      <c r="F109" s="654">
        <f t="shared" si="2"/>
        <v>93.801801835058413</v>
      </c>
    </row>
    <row r="110" spans="1:10" ht="26.25" customHeight="1" x14ac:dyDescent="0.4">
      <c r="A110" s="500" t="s">
        <v>96</v>
      </c>
      <c r="B110" s="501">
        <v>1</v>
      </c>
      <c r="C110" s="647">
        <v>3</v>
      </c>
      <c r="D110" s="649">
        <v>2126543</v>
      </c>
      <c r="E110" s="627">
        <f t="shared" si="1"/>
        <v>562.8240443201006</v>
      </c>
      <c r="F110" s="654">
        <f t="shared" si="2"/>
        <v>93.804007386683423</v>
      </c>
    </row>
    <row r="111" spans="1:10" ht="26.25" customHeight="1" x14ac:dyDescent="0.4">
      <c r="A111" s="500" t="s">
        <v>97</v>
      </c>
      <c r="B111" s="501">
        <v>1</v>
      </c>
      <c r="C111" s="647">
        <v>4</v>
      </c>
      <c r="D111" s="649">
        <v>2124614</v>
      </c>
      <c r="E111" s="627">
        <f t="shared" si="1"/>
        <v>562.31350322994001</v>
      </c>
      <c r="F111" s="654">
        <f t="shared" si="2"/>
        <v>93.718917204990007</v>
      </c>
    </row>
    <row r="112" spans="1:10" ht="26.25" customHeight="1" x14ac:dyDescent="0.4">
      <c r="A112" s="500" t="s">
        <v>98</v>
      </c>
      <c r="B112" s="501">
        <v>1</v>
      </c>
      <c r="C112" s="647">
        <v>5</v>
      </c>
      <c r="D112" s="649">
        <v>2150852</v>
      </c>
      <c r="E112" s="627">
        <f t="shared" si="1"/>
        <v>569.25781485442667</v>
      </c>
      <c r="F112" s="654">
        <f t="shared" si="2"/>
        <v>94.876302475737788</v>
      </c>
    </row>
    <row r="113" spans="1:10" ht="27" customHeight="1" x14ac:dyDescent="0.4">
      <c r="A113" s="500" t="s">
        <v>100</v>
      </c>
      <c r="B113" s="501">
        <v>1</v>
      </c>
      <c r="C113" s="648">
        <v>6</v>
      </c>
      <c r="D113" s="650">
        <v>2138770</v>
      </c>
      <c r="E113" s="628">
        <f t="shared" si="1"/>
        <v>566.06011788640126</v>
      </c>
      <c r="F113" s="655">
        <f t="shared" si="2"/>
        <v>94.343352981066872</v>
      </c>
    </row>
    <row r="114" spans="1:10" ht="27" customHeight="1" x14ac:dyDescent="0.4">
      <c r="A114" s="500" t="s">
        <v>101</v>
      </c>
      <c r="B114" s="501">
        <v>1</v>
      </c>
      <c r="C114" s="609"/>
      <c r="D114" s="567"/>
      <c r="E114" s="474"/>
      <c r="F114" s="656"/>
    </row>
    <row r="115" spans="1:10" ht="26.25" customHeight="1" x14ac:dyDescent="0.4">
      <c r="A115" s="500" t="s">
        <v>102</v>
      </c>
      <c r="B115" s="501">
        <v>1</v>
      </c>
      <c r="C115" s="609"/>
      <c r="D115" s="633" t="s">
        <v>71</v>
      </c>
      <c r="E115" s="635">
        <f>AVERAGE(E108:E113)</f>
        <v>565.82813796648134</v>
      </c>
      <c r="F115" s="657">
        <f>AVERAGE(F108:F113)</f>
        <v>94.304689661080218</v>
      </c>
    </row>
    <row r="116" spans="1:10" ht="27" customHeight="1" x14ac:dyDescent="0.4">
      <c r="A116" s="500" t="s">
        <v>103</v>
      </c>
      <c r="B116" s="532">
        <f>(B115/B114)*(B113/B112)*(B111/B110)*(B109/B108)*B107</f>
        <v>1000</v>
      </c>
      <c r="C116" s="610"/>
      <c r="D116" s="634" t="s">
        <v>84</v>
      </c>
      <c r="E116" s="632">
        <f>STDEV(E108:E113)/E115</f>
        <v>6.926751353446719E-3</v>
      </c>
      <c r="F116" s="611">
        <f>STDEV(F108:F113)/F115</f>
        <v>6.9267513534467208E-3</v>
      </c>
      <c r="I116" s="474"/>
    </row>
    <row r="117" spans="1:10" ht="27" customHeight="1" x14ac:dyDescent="0.4">
      <c r="A117" s="675" t="s">
        <v>78</v>
      </c>
      <c r="B117" s="676"/>
      <c r="C117" s="612"/>
      <c r="D117" s="571" t="s">
        <v>20</v>
      </c>
      <c r="E117" s="637">
        <f>COUNT(E108:E113)</f>
        <v>6</v>
      </c>
      <c r="F117" s="638">
        <f>COUNT(F108:F113)</f>
        <v>6</v>
      </c>
      <c r="I117" s="474"/>
      <c r="J117" s="605"/>
    </row>
    <row r="118" spans="1:10" ht="26.25" customHeight="1" x14ac:dyDescent="0.3">
      <c r="A118" s="677"/>
      <c r="B118" s="678"/>
      <c r="C118" s="474"/>
      <c r="D118" s="636"/>
      <c r="E118" s="703" t="s">
        <v>123</v>
      </c>
      <c r="F118" s="704"/>
      <c r="G118" s="474"/>
      <c r="H118" s="474"/>
      <c r="I118" s="474"/>
    </row>
    <row r="119" spans="1:10" ht="25.5" customHeight="1" x14ac:dyDescent="0.4">
      <c r="A119" s="621"/>
      <c r="B119" s="496"/>
      <c r="C119" s="474"/>
      <c r="D119" s="634" t="s">
        <v>124</v>
      </c>
      <c r="E119" s="639">
        <f>MIN(E108:E113)</f>
        <v>562.31350322994001</v>
      </c>
      <c r="F119" s="658">
        <f>MIN(F108:F113)</f>
        <v>93.718917204990007</v>
      </c>
      <c r="G119" s="474"/>
      <c r="H119" s="474"/>
      <c r="I119" s="474"/>
    </row>
    <row r="120" spans="1:10" ht="24" customHeight="1" x14ac:dyDescent="0.4">
      <c r="A120" s="621"/>
      <c r="B120" s="496"/>
      <c r="C120" s="474"/>
      <c r="D120" s="543" t="s">
        <v>125</v>
      </c>
      <c r="E120" s="640">
        <f>MAX(E108:E113)</f>
        <v>571.70253649766869</v>
      </c>
      <c r="F120" s="659">
        <f>MAX(F108:F113)</f>
        <v>95.283756082944777</v>
      </c>
      <c r="G120" s="474"/>
      <c r="H120" s="474"/>
      <c r="I120" s="474"/>
    </row>
    <row r="121" spans="1:10" ht="27" customHeight="1" x14ac:dyDescent="0.3">
      <c r="A121" s="621"/>
      <c r="B121" s="496"/>
      <c r="C121" s="474"/>
      <c r="D121" s="474"/>
      <c r="E121" s="474"/>
      <c r="F121" s="567"/>
      <c r="G121" s="474"/>
      <c r="H121" s="474"/>
      <c r="I121" s="474"/>
    </row>
    <row r="122" spans="1:10" ht="25.5" customHeight="1" x14ac:dyDescent="0.3">
      <c r="A122" s="621"/>
      <c r="B122" s="496"/>
      <c r="C122" s="474"/>
      <c r="D122" s="474"/>
      <c r="E122" s="474"/>
      <c r="F122" s="567"/>
      <c r="G122" s="474"/>
      <c r="H122" s="474"/>
      <c r="I122" s="474"/>
    </row>
    <row r="123" spans="1:10" ht="18.75" x14ac:dyDescent="0.3">
      <c r="A123" s="621"/>
      <c r="B123" s="496"/>
      <c r="C123" s="474"/>
      <c r="D123" s="474"/>
      <c r="E123" s="474"/>
      <c r="F123" s="567"/>
      <c r="G123" s="474"/>
      <c r="H123" s="474"/>
      <c r="I123" s="474"/>
    </row>
    <row r="124" spans="1:10" ht="45.75" customHeight="1" x14ac:dyDescent="0.65">
      <c r="A124" s="484" t="s">
        <v>106</v>
      </c>
      <c r="B124" s="573" t="s">
        <v>126</v>
      </c>
      <c r="C124" s="679" t="str">
        <f>B26</f>
        <v>Efavirenz</v>
      </c>
      <c r="D124" s="679"/>
      <c r="E124" s="574" t="s">
        <v>127</v>
      </c>
      <c r="F124" s="574"/>
      <c r="G124" s="660">
        <f>F115</f>
        <v>94.304689661080218</v>
      </c>
      <c r="H124" s="474"/>
      <c r="I124" s="474"/>
    </row>
    <row r="125" spans="1:10" ht="45.75" customHeight="1" x14ac:dyDescent="0.65">
      <c r="A125" s="484"/>
      <c r="B125" s="573" t="s">
        <v>128</v>
      </c>
      <c r="C125" s="485" t="s">
        <v>129</v>
      </c>
      <c r="D125" s="660">
        <f>MIN(F108:F113)</f>
        <v>93.718917204990007</v>
      </c>
      <c r="E125" s="585" t="s">
        <v>130</v>
      </c>
      <c r="F125" s="660">
        <f>MAX(F108:F113)</f>
        <v>95.283756082944777</v>
      </c>
      <c r="G125" s="575"/>
      <c r="H125" s="474"/>
      <c r="I125" s="474"/>
    </row>
    <row r="126" spans="1:10" ht="19.5" customHeight="1" x14ac:dyDescent="0.3">
      <c r="A126" s="613"/>
      <c r="B126" s="613"/>
      <c r="C126" s="614"/>
      <c r="D126" s="614"/>
      <c r="E126" s="614"/>
      <c r="F126" s="614"/>
      <c r="G126" s="614"/>
      <c r="H126" s="614"/>
    </row>
    <row r="127" spans="1:10" ht="18.75" x14ac:dyDescent="0.3">
      <c r="B127" s="680" t="s">
        <v>26</v>
      </c>
      <c r="C127" s="680"/>
      <c r="E127" s="580" t="s">
        <v>27</v>
      </c>
      <c r="F127" s="615"/>
      <c r="G127" s="680" t="s">
        <v>28</v>
      </c>
      <c r="H127" s="680"/>
    </row>
    <row r="128" spans="1:10" ht="69.95" customHeight="1" x14ac:dyDescent="0.3">
      <c r="A128" s="616" t="s">
        <v>29</v>
      </c>
      <c r="B128" s="617"/>
      <c r="C128" s="617"/>
      <c r="E128" s="617"/>
      <c r="F128" s="474"/>
      <c r="G128" s="618"/>
      <c r="H128" s="618"/>
    </row>
    <row r="129" spans="1:9" ht="69.95" customHeight="1" x14ac:dyDescent="0.3">
      <c r="A129" s="616" t="s">
        <v>30</v>
      </c>
      <c r="B129" s="619"/>
      <c r="C129" s="619"/>
      <c r="E129" s="619"/>
      <c r="F129" s="474"/>
      <c r="G129" s="620"/>
      <c r="H129" s="620"/>
    </row>
    <row r="130" spans="1:9" ht="18.75" x14ac:dyDescent="0.3">
      <c r="A130" s="566"/>
      <c r="B130" s="566"/>
      <c r="C130" s="567"/>
      <c r="D130" s="567"/>
      <c r="E130" s="567"/>
      <c r="F130" s="570"/>
      <c r="G130" s="567"/>
      <c r="H130" s="567"/>
      <c r="I130" s="474"/>
    </row>
    <row r="131" spans="1:9" ht="18.75" x14ac:dyDescent="0.3">
      <c r="A131" s="566"/>
      <c r="B131" s="566"/>
      <c r="C131" s="567"/>
      <c r="D131" s="567"/>
      <c r="E131" s="567"/>
      <c r="F131" s="570"/>
      <c r="G131" s="567"/>
      <c r="H131" s="567"/>
      <c r="I131" s="474"/>
    </row>
    <row r="132" spans="1:9" ht="18.75" x14ac:dyDescent="0.3">
      <c r="A132" s="566"/>
      <c r="B132" s="566"/>
      <c r="C132" s="567"/>
      <c r="D132" s="567"/>
      <c r="E132" s="567"/>
      <c r="F132" s="570"/>
      <c r="G132" s="567"/>
      <c r="H132" s="567"/>
      <c r="I132" s="474"/>
    </row>
    <row r="133" spans="1:9" ht="18.75" x14ac:dyDescent="0.3">
      <c r="A133" s="566"/>
      <c r="B133" s="566"/>
      <c r="C133" s="567"/>
      <c r="D133" s="567"/>
      <c r="E133" s="567"/>
      <c r="F133" s="570"/>
      <c r="G133" s="567"/>
      <c r="H133" s="567"/>
      <c r="I133" s="474"/>
    </row>
    <row r="134" spans="1:9" ht="18.75" x14ac:dyDescent="0.3">
      <c r="A134" s="566"/>
      <c r="B134" s="566"/>
      <c r="C134" s="567"/>
      <c r="D134" s="567"/>
      <c r="E134" s="567"/>
      <c r="F134" s="570"/>
      <c r="G134" s="567"/>
      <c r="H134" s="567"/>
      <c r="I134" s="474"/>
    </row>
    <row r="135" spans="1:9" ht="18.75" x14ac:dyDescent="0.3">
      <c r="A135" s="566"/>
      <c r="B135" s="566"/>
      <c r="C135" s="567"/>
      <c r="D135" s="567"/>
      <c r="E135" s="567"/>
      <c r="F135" s="570"/>
      <c r="G135" s="567"/>
      <c r="H135" s="567"/>
      <c r="I135" s="474"/>
    </row>
    <row r="136" spans="1:9" ht="18.75" x14ac:dyDescent="0.3">
      <c r="A136" s="566"/>
      <c r="B136" s="566"/>
      <c r="C136" s="567"/>
      <c r="D136" s="567"/>
      <c r="E136" s="567"/>
      <c r="F136" s="570"/>
      <c r="G136" s="567"/>
      <c r="H136" s="567"/>
      <c r="I136" s="474"/>
    </row>
    <row r="137" spans="1:9" ht="18.75" x14ac:dyDescent="0.3">
      <c r="A137" s="566"/>
      <c r="B137" s="566"/>
      <c r="C137" s="567"/>
      <c r="D137" s="567"/>
      <c r="E137" s="567"/>
      <c r="F137" s="570"/>
      <c r="G137" s="567"/>
      <c r="H137" s="567"/>
      <c r="I137" s="474"/>
    </row>
    <row r="138" spans="1:9" ht="18.75" x14ac:dyDescent="0.3">
      <c r="A138" s="566"/>
      <c r="B138" s="566"/>
      <c r="C138" s="567"/>
      <c r="D138" s="567"/>
      <c r="E138" s="567"/>
      <c r="F138" s="570"/>
      <c r="G138" s="567"/>
      <c r="H138" s="567"/>
      <c r="I138" s="474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Lamivudine SST</vt:lpstr>
      <vt:lpstr>TDF SST</vt:lpstr>
      <vt:lpstr>Efavirenz SST</vt:lpstr>
      <vt:lpstr>Uniformity</vt:lpstr>
      <vt:lpstr>Lamivudine</vt:lpstr>
      <vt:lpstr>Tenofovir Disoproxil Fumarate</vt:lpstr>
      <vt:lpstr>Efavirenz</vt:lpstr>
      <vt:lpstr>Efavirenz!Print_Area</vt:lpstr>
      <vt:lpstr>Lamivudine!Print_Area</vt:lpstr>
      <vt:lpstr>'Tenofovir Disoproxil Fumarate'!Print_Area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2017-11-06T07:29:21Z</cp:lastPrinted>
  <dcterms:created xsi:type="dcterms:W3CDTF">2005-07-05T10:19:27Z</dcterms:created>
  <dcterms:modified xsi:type="dcterms:W3CDTF">2017-11-06T07:29:28Z</dcterms:modified>
</cp:coreProperties>
</file>