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1"/>
  </bookViews>
  <sheets>
    <sheet name="SST SULFAMETHOXAZOLE" sheetId="5" r:id="rId1"/>
    <sheet name="SST TRIMETHOPRIM" sheetId="1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D30" i="5"/>
  <c r="C30" i="5"/>
  <c r="B32" i="5"/>
  <c r="B31" i="5"/>
  <c r="B30" i="5"/>
  <c r="B21" i="5"/>
  <c r="F30" i="5" l="1"/>
  <c r="F51" i="5" l="1"/>
  <c r="B53" i="5"/>
  <c r="E51" i="5"/>
  <c r="D51" i="5"/>
  <c r="C51" i="5"/>
  <c r="B51" i="5"/>
  <c r="B52" i="5" s="1"/>
  <c r="E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/>
  <c r="B98" i="3"/>
  <c r="D101" i="3" s="1"/>
  <c r="F95" i="3"/>
  <c r="D95" i="3"/>
  <c r="B87" i="3"/>
  <c r="F97" i="3" s="1"/>
  <c r="B81" i="3"/>
  <c r="B83" i="3" s="1"/>
  <c r="B80" i="3"/>
  <c r="B79" i="3"/>
  <c r="C76" i="3"/>
  <c r="B68" i="3"/>
  <c r="C56" i="3"/>
  <c r="B55" i="3"/>
  <c r="D48" i="3"/>
  <c r="B45" i="3"/>
  <c r="F42" i="3"/>
  <c r="D42" i="3"/>
  <c r="B34" i="3"/>
  <c r="D44" i="3" s="1"/>
  <c r="D45" i="3" s="1"/>
  <c r="B30" i="3"/>
  <c r="C46" i="2"/>
  <c r="B57" i="4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4" l="1"/>
  <c r="I92" i="3"/>
  <c r="I39" i="3"/>
  <c r="I92" i="4"/>
  <c r="D101" i="4"/>
  <c r="G94" i="4" s="1"/>
  <c r="B69" i="4"/>
  <c r="D97" i="3"/>
  <c r="D98" i="3" s="1"/>
  <c r="E94" i="3" s="1"/>
  <c r="F44" i="4"/>
  <c r="F45" i="4" s="1"/>
  <c r="F46" i="4" s="1"/>
  <c r="D45" i="4"/>
  <c r="D46" i="4" s="1"/>
  <c r="F98" i="4"/>
  <c r="F99" i="4" s="1"/>
  <c r="D102" i="3"/>
  <c r="D49" i="3"/>
  <c r="E39" i="4"/>
  <c r="D49" i="4"/>
  <c r="D102" i="4"/>
  <c r="G93" i="4"/>
  <c r="G91" i="4"/>
  <c r="E38" i="3"/>
  <c r="D46" i="3"/>
  <c r="F98" i="3"/>
  <c r="G93" i="3" s="1"/>
  <c r="D29" i="2"/>
  <c r="D33" i="2"/>
  <c r="D41" i="2"/>
  <c r="C50" i="2"/>
  <c r="D27" i="2"/>
  <c r="D31" i="2"/>
  <c r="D35" i="2"/>
  <c r="D39" i="2"/>
  <c r="D43" i="2"/>
  <c r="C49" i="2"/>
  <c r="E39" i="3"/>
  <c r="F44" i="3"/>
  <c r="F45" i="3" s="1"/>
  <c r="G92" i="3"/>
  <c r="D97" i="4"/>
  <c r="D98" i="4" s="1"/>
  <c r="D99" i="4" s="1"/>
  <c r="D25" i="2"/>
  <c r="D37" i="2"/>
  <c r="D24" i="2"/>
  <c r="D28" i="2"/>
  <c r="D32" i="2"/>
  <c r="D36" i="2"/>
  <c r="D40" i="2"/>
  <c r="D49" i="2"/>
  <c r="G39" i="3"/>
  <c r="E41" i="3"/>
  <c r="B57" i="3"/>
  <c r="B69" i="3" s="1"/>
  <c r="G94" i="3"/>
  <c r="D26" i="2"/>
  <c r="D30" i="2"/>
  <c r="D34" i="2"/>
  <c r="D38" i="2"/>
  <c r="D42" i="2"/>
  <c r="B49" i="2"/>
  <c r="D50" i="2"/>
  <c r="G38" i="3"/>
  <c r="E40" i="3"/>
  <c r="G92" i="4" l="1"/>
  <c r="G95" i="4" s="1"/>
  <c r="G39" i="4"/>
  <c r="G41" i="4"/>
  <c r="G38" i="4"/>
  <c r="G40" i="4"/>
  <c r="E40" i="4"/>
  <c r="E38" i="4"/>
  <c r="E41" i="4"/>
  <c r="E91" i="3"/>
  <c r="E92" i="3"/>
  <c r="G41" i="3"/>
  <c r="F46" i="3"/>
  <c r="G40" i="3"/>
  <c r="G91" i="3"/>
  <c r="G95" i="3" s="1"/>
  <c r="F99" i="3"/>
  <c r="E93" i="4"/>
  <c r="D99" i="3"/>
  <c r="E93" i="3"/>
  <c r="E92" i="4"/>
  <c r="E94" i="4"/>
  <c r="E42" i="3"/>
  <c r="E91" i="4"/>
  <c r="D52" i="3" l="1"/>
  <c r="E95" i="3"/>
  <c r="D103" i="3"/>
  <c r="E113" i="3" s="1"/>
  <c r="F113" i="3" s="1"/>
  <c r="D52" i="4"/>
  <c r="E42" i="4"/>
  <c r="D50" i="4"/>
  <c r="D51" i="4" s="1"/>
  <c r="G42" i="4"/>
  <c r="D50" i="3"/>
  <c r="G66" i="3" s="1"/>
  <c r="H66" i="3" s="1"/>
  <c r="G42" i="3"/>
  <c r="D105" i="3"/>
  <c r="D103" i="4"/>
  <c r="E95" i="4"/>
  <c r="D105" i="4"/>
  <c r="E109" i="3" l="1"/>
  <c r="F109" i="3" s="1"/>
  <c r="E108" i="3"/>
  <c r="F108" i="3" s="1"/>
  <c r="E110" i="3"/>
  <c r="F110" i="3" s="1"/>
  <c r="D104" i="3"/>
  <c r="E111" i="3"/>
  <c r="F111" i="3" s="1"/>
  <c r="E112" i="3"/>
  <c r="F112" i="3" s="1"/>
  <c r="G69" i="3"/>
  <c r="H69" i="3" s="1"/>
  <c r="G65" i="3"/>
  <c r="H65" i="3" s="1"/>
  <c r="G68" i="3"/>
  <c r="H68" i="3" s="1"/>
  <c r="G71" i="3"/>
  <c r="H71" i="3" s="1"/>
  <c r="G70" i="3"/>
  <c r="H70" i="3" s="1"/>
  <c r="G71" i="4"/>
  <c r="H71" i="4" s="1"/>
  <c r="G70" i="4"/>
  <c r="H70" i="4" s="1"/>
  <c r="G66" i="4"/>
  <c r="H66" i="4" s="1"/>
  <c r="G61" i="4"/>
  <c r="H61" i="4" s="1"/>
  <c r="G62" i="4"/>
  <c r="H62" i="4" s="1"/>
  <c r="G65" i="4"/>
  <c r="H65" i="4" s="1"/>
  <c r="G64" i="4"/>
  <c r="H64" i="4" s="1"/>
  <c r="G68" i="4"/>
  <c r="H68" i="4" s="1"/>
  <c r="G67" i="4"/>
  <c r="H67" i="4" s="1"/>
  <c r="G60" i="4"/>
  <c r="H60" i="4" s="1"/>
  <c r="G69" i="4"/>
  <c r="H69" i="4" s="1"/>
  <c r="G63" i="4"/>
  <c r="H63" i="4" s="1"/>
  <c r="G60" i="3"/>
  <c r="H60" i="3" s="1"/>
  <c r="G61" i="3"/>
  <c r="H61" i="3" s="1"/>
  <c r="G62" i="3"/>
  <c r="H62" i="3" s="1"/>
  <c r="G67" i="3"/>
  <c r="H67" i="3" s="1"/>
  <c r="G64" i="3"/>
  <c r="H64" i="3" s="1"/>
  <c r="G63" i="3"/>
  <c r="H63" i="3" s="1"/>
  <c r="D51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5" i="3" l="1"/>
  <c r="E116" i="3" s="1"/>
  <c r="E117" i="3"/>
  <c r="E120" i="3"/>
  <c r="E119" i="3"/>
  <c r="G72" i="4"/>
  <c r="G73" i="4" s="1"/>
  <c r="G74" i="4"/>
  <c r="G74" i="3"/>
  <c r="G72" i="3"/>
  <c r="G73" i="3" s="1"/>
  <c r="H74" i="4"/>
  <c r="H72" i="4"/>
  <c r="H74" i="3"/>
  <c r="H72" i="3"/>
  <c r="E120" i="4"/>
  <c r="E117" i="4"/>
  <c r="F108" i="4"/>
  <c r="E115" i="4"/>
  <c r="E116" i="4" s="1"/>
  <c r="E119" i="4"/>
  <c r="F119" i="3"/>
  <c r="F125" i="3"/>
  <c r="F120" i="3"/>
  <c r="F117" i="3"/>
  <c r="D125" i="3"/>
  <c r="F115" i="3"/>
  <c r="G76" i="3" l="1"/>
  <c r="H73" i="3"/>
  <c r="F125" i="4"/>
  <c r="F120" i="4"/>
  <c r="F117" i="4"/>
  <c r="D125" i="4"/>
  <c r="F115" i="4"/>
  <c r="F119" i="4"/>
  <c r="G76" i="4"/>
  <c r="H73" i="4"/>
  <c r="G124" i="3"/>
  <c r="F116" i="3"/>
  <c r="G124" i="4" l="1"/>
  <c r="F116" i="4"/>
</calcChain>
</file>

<file path=xl/sharedStrings.xml><?xml version="1.0" encoding="utf-8"?>
<sst xmlns="http://schemas.openxmlformats.org/spreadsheetml/2006/main" count="460" uniqueCount="139">
  <si>
    <t>HPLC System Suitability Report</t>
  </si>
  <si>
    <t>Analysis Data</t>
  </si>
  <si>
    <t>Assay</t>
  </si>
  <si>
    <t>Sample(s)</t>
  </si>
  <si>
    <t>Reference Substance:</t>
  </si>
  <si>
    <t>SULFRAN - DS TABLETS</t>
  </si>
  <si>
    <t>% age Purity:</t>
  </si>
  <si>
    <t>NDQB201710257</t>
  </si>
  <si>
    <t>Weight (mg):</t>
  </si>
  <si>
    <t>Sulfamethoxazole &amp; Trimethoprim</t>
  </si>
  <si>
    <t>Standard Conc (mg/mL):</t>
  </si>
  <si>
    <t xml:space="preserve">Each tablet contains: Sulphamethoxazole BP 800 mg and Trimethoprim 
BP 160 mg.
</t>
  </si>
  <si>
    <t>2017-10-24 09:35:45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</si>
  <si>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</si>
  <si>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</si>
  <si>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</si>
  <si>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</si>
  <si>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</si>
  <si>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</si>
  <si>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</si>
  <si>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</si>
  <si>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</si>
  <si>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</si>
  <si>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</si>
  <si>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</si>
  <si>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</si>
  <si>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</si>
  <si>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</si>
  <si>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</si>
  <si>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</si>
  <si>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</si>
  <si>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</si>
  <si>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</si>
  <si>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</si>
  <si>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</si>
  <si>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</si>
  <si>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</si>
  <si>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</si>
  <si>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</si>
  <si>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</si>
  <si>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</si>
  <si>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</si>
  <si>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</si>
  <si>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</si>
  <si>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</si>
  <si>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</si>
  <si>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</si>
  <si>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</si>
  <si>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</si>
  <si>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</si>
  <si>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</si>
  <si>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</si>
  <si>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</si>
  <si>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</si>
  <si>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</si>
  <si>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</si>
  <si>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</si>
  <si>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</si>
  <si>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</si>
  <si>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</si>
  <si>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</si>
  <si>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</si>
  <si>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</si>
  <si>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</si>
  <si>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</si>
  <si>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</si>
  <si>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</si>
  <si>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</si>
  <si>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</si>
  <si>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</si>
  <si>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</si>
  <si>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</si>
  <si>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</si>
  <si>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</si>
  <si>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</si>
  <si>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</si>
  <si>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</si>
  <si>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</si>
  <si>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</si>
  <si>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</si>
  <si>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</si>
  <si>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</si>
  <si>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</si>
  <si>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</si>
  <si>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</si>
  <si>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</si>
  <si>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</si>
  <si>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</si>
  <si>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</si>
  <si>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</si>
  <si>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</si>
  <si>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</si>
  <si>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</si>
  <si>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</si>
  <si>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</si>
  <si>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</si>
  <si>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</si>
  <si>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</si>
  <si>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</si>
  <si>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</si>
  <si>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</si>
  <si>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</si>
  <si>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</si>
  <si>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</si>
  <si>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</si>
  <si>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</si>
  <si>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</si>
  <si>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</si>
  <si>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</si>
  <si>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</si>
  <si>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</si>
  <si>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</si>
  <si>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</si>
  <si>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</si>
  <si>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</si>
  <si>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</si>
  <si>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</si>
  <si>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</si>
  <si>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</si>
  <si>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</si>
  <si>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</si>
  <si>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</si>
  <si>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</si>
  <si>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</si>
  <si>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</si>
  <si>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</si>
  <si>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</si>
  <si>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</si>
  <si>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</si>
  <si>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</si>
  <si>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</si>
  <si>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</si>
  <si>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RESOLUTION</t>
  </si>
  <si>
    <r>
      <t xml:space="preserve">The Resolution between Trimethoprim and Sulfamethoxazole peaks should </t>
    </r>
    <r>
      <rPr>
        <b/>
        <sz val="12"/>
        <color rgb="FF000000"/>
        <rFont val="Book Antiqua"/>
        <family val="1"/>
      </rPr>
      <t>not be less than 5.0</t>
    </r>
    <r>
      <rPr>
        <sz val="12"/>
        <color rgb="FF000000"/>
        <rFont val="Book Antiqua"/>
        <family val="1"/>
      </rPr>
      <t xml:space="preserve"> </t>
    </r>
  </si>
  <si>
    <t>TRIMETHOPRIM</t>
  </si>
  <si>
    <t>DR.</t>
  </si>
  <si>
    <t>PETER NGUMO</t>
  </si>
  <si>
    <t>S12-6</t>
  </si>
  <si>
    <t>T7-5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</si>
</sst>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6" fillId="2" borderId="0" xfId="0" applyFont="1" applyFill="1"/>
    <xf numFmtId="0" fontId="25" fillId="2" borderId="0" xfId="0" applyFont="1" applyFill="1" applyAlignment="1">
      <alignment horizontal="left"/>
    </xf>
    <xf numFmtId="0" fontId="27" fillId="2" borderId="7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28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9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76" fontId="5" fillId="4" borderId="1" xfId="0" applyNumberFormat="1" applyFont="1" applyFill="1" applyBorder="1" applyAlignment="1">
      <alignment horizontal="center"/>
    </xf>
    <xf numFmtId="176" fontId="7" fillId="3" borderId="3" xfId="0" applyNumberFormat="1" applyFont="1" applyFill="1" applyBorder="1" applyAlignment="1" applyProtection="1">
      <alignment horizontal="center"/>
      <protection locked="0"/>
    </xf>
    <xf numFmtId="176" fontId="7" fillId="3" borderId="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SST: Peak Areas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'SST TRIMETHOPRIM'!$A$23</c:f>
              <c:strCache>
                <c:ptCount val="1"/>
                <c:pt idx="0">
                  <c:v>Injection Number</c:v>
                </c:pt>
              </c:strCache>
            </c:strRef>
          </c:tx>
          <c:invertIfNegative val="0"/>
          <c:val>
            <c:numRef>
              <c:f>'SST TRIMETHOPRIM'!$A$24:$A$29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strRef>
              <c:f>'SST TRIMETHOPRIM'!$B$23</c:f>
              <c:strCache>
                <c:ptCount val="1"/>
                <c:pt idx="0">
                  <c:v>Peak Areas</c:v>
                </c:pt>
              </c:strCache>
            </c:strRef>
          </c:tx>
          <c:invertIfNegative val="0"/>
          <c:val>
            <c:numRef>
              <c:f>'SST TRIMETHOPRIM'!$B$24:$B$29</c:f>
              <c:numCache>
                <c:formatCode>General</c:formatCode>
                <c:ptCount val="6"/>
                <c:pt idx="0">
                  <c:v>3102648</c:v>
                </c:pt>
                <c:pt idx="1">
                  <c:v>3112879</c:v>
                </c:pt>
                <c:pt idx="2">
                  <c:v>3099559</c:v>
                </c:pt>
                <c:pt idx="3">
                  <c:v>3111388</c:v>
                </c:pt>
                <c:pt idx="4">
                  <c:v>3135460</c:v>
                </c:pt>
                <c:pt idx="5">
                  <c:v>3125235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81792"/>
        <c:axId val="110483712"/>
      </c:barChart>
      <c:catAx>
        <c:axId val="1104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83712"/>
        <c:crosses val="autoZero"/>
        <c:auto val="1"/>
        <c:lblAlgn val="ctr"/>
        <c:lblOffset val="100"/>
        <c:noMultiLvlLbl val="0"/>
      </c:catAx>
      <c:valAx>
        <c:axId val="110483712"/>
        <c:scaling>
          <c:orientation val="minMax"/>
          <c:min val="3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8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+mn-lt"/>
              </a:defRPr>
            </a:pPr>
            <a:r>
              <a:rPr lang="en-US" sz="1200">
                <a:latin typeface="+mn-lt"/>
              </a:rPr>
              <a:t>SST: Theoretical Plates</a:t>
            </a:r>
          </a:p>
        </c:rich>
      </c:tx>
      <c:layout>
        <c:manualLayout>
          <c:xMode val="edge"/>
          <c:yMode val="edge"/>
          <c:x val="0.35293744531933507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'SST TRIMETHOPRIM'!$A$23</c:f>
              <c:strCache>
                <c:ptCount val="1"/>
                <c:pt idx="0">
                  <c:v>Injection Number</c:v>
                </c:pt>
              </c:strCache>
            </c:strRef>
          </c:tx>
          <c:invertIfNegative val="0"/>
          <c:val>
            <c:numRef>
              <c:f>'SST TRIMETHOPRIM'!$A$24:$A$29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strRef>
              <c:f>'SST TRIMETHOPRIM'!$C$23</c:f>
              <c:strCache>
                <c:ptCount val="1"/>
                <c:pt idx="0">
                  <c:v>Theoretical Plates (USP) </c:v>
                </c:pt>
              </c:strCache>
            </c:strRef>
          </c:tx>
          <c:invertIfNegative val="0"/>
          <c:val>
            <c:numRef>
              <c:f>'SST TRIMETHOPRIM'!$C$24:$C$29</c:f>
              <c:numCache>
                <c:formatCode>0.0</c:formatCode>
                <c:ptCount val="6"/>
                <c:pt idx="0">
                  <c:v>6656.8</c:v>
                </c:pt>
                <c:pt idx="1">
                  <c:v>6518</c:v>
                </c:pt>
                <c:pt idx="2">
                  <c:v>6310.3</c:v>
                </c:pt>
                <c:pt idx="3">
                  <c:v>6165.9</c:v>
                </c:pt>
                <c:pt idx="4">
                  <c:v>6110.9</c:v>
                </c:pt>
                <c:pt idx="5">
                  <c:v>6074.2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36224"/>
        <c:axId val="63637760"/>
      </c:barChart>
      <c:catAx>
        <c:axId val="636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63637760"/>
        <c:crosses val="autoZero"/>
        <c:auto val="1"/>
        <c:lblAlgn val="ctr"/>
        <c:lblOffset val="100"/>
        <c:noMultiLvlLbl val="0"/>
      </c:catAx>
      <c:valAx>
        <c:axId val="63637760"/>
        <c:scaling>
          <c:orientation val="minMax"/>
          <c:min val="5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3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451884</xdr:colOff>
      <xdr:row>22</xdr:row>
      <xdr:rowOff>26581</xdr:rowOff>
    </xdr:from>
    <xdr:to>
      <xdr:col>8</xdr:col>
      <xdr:colOff>79745</xdr:colOff>
      <xdr:row>35</xdr:row>
      <xdr:rowOff>153285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39</xdr:row>
      <xdr:rowOff>130248</xdr:rowOff>
    </xdr:from>
    <xdr:to>
      <xdr:col>7</xdr:col>
      <xdr:colOff>1417674</xdr:colOff>
      <xdr:row>53</xdr:row>
      <xdr:rowOff>29239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0" zoomScale="87" zoomScaleNormal="87" workbookViewId="0">
      <selection activeCell="C30" sqref="C30"/>
    </sheetView>
  </sheetViews>
  <sheetFormatPr defaultColWidth="9.109375" defaultRowHeight="13.8" x14ac:dyDescent="0.3"/>
  <cols>
    <col min="1" max="1" width="27.5546875" style="408" customWidth="1"/>
    <col min="2" max="2" width="20.44140625" style="408" customWidth="1"/>
    <col min="3" max="3" width="31.88671875" style="408" customWidth="1"/>
    <col min="4" max="4" width="25.88671875" style="408" customWidth="1"/>
    <col min="5" max="5" width="25.6640625" style="408" customWidth="1"/>
    <col min="6" max="6" width="23.109375" style="408" customWidth="1"/>
    <col min="7" max="7" width="28.44140625" style="408" customWidth="1"/>
    <col min="8" max="8" width="21.5546875" style="408" customWidth="1"/>
    <col min="9" max="9" width="9.109375" style="408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477" t="s">
        <v>0</v>
      </c>
      <c r="B15" s="477"/>
      <c r="C15" s="477"/>
      <c r="D15" s="477"/>
      <c r="E15" s="477"/>
    </row>
    <row r="16" spans="1:6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72"/>
    </row>
    <row r="18" spans="1:6" ht="16.5" customHeight="1" x14ac:dyDescent="0.3">
      <c r="A18" s="75" t="s">
        <v>4</v>
      </c>
      <c r="B18" s="8" t="s">
        <v>131</v>
      </c>
      <c r="C18" s="72"/>
      <c r="D18" s="72"/>
      <c r="E18" s="72"/>
    </row>
    <row r="19" spans="1:6" ht="16.5" customHeight="1" x14ac:dyDescent="0.3">
      <c r="A19" s="75" t="s">
        <v>6</v>
      </c>
      <c r="B19" s="12">
        <v>99.02</v>
      </c>
      <c r="C19" s="72"/>
      <c r="D19" s="72"/>
      <c r="E19" s="72"/>
    </row>
    <row r="20" spans="1:6" ht="16.5" customHeight="1" x14ac:dyDescent="0.3">
      <c r="A20" s="8" t="s">
        <v>8</v>
      </c>
      <c r="B20" s="12">
        <v>16.05</v>
      </c>
      <c r="C20" s="72"/>
      <c r="D20" s="72"/>
      <c r="E20" s="72"/>
    </row>
    <row r="21" spans="1:6" ht="16.5" customHeight="1" x14ac:dyDescent="0.3">
      <c r="A21" s="8" t="s">
        <v>10</v>
      </c>
      <c r="B21" s="13">
        <f>B20/100</f>
        <v>0.1605</v>
      </c>
      <c r="C21" s="72"/>
      <c r="D21" s="72"/>
      <c r="E21" s="72"/>
    </row>
    <row r="22" spans="1:6" ht="15.75" customHeight="1" x14ac:dyDescent="0.3">
      <c r="A22" s="72"/>
      <c r="B22" s="72"/>
      <c r="C22" s="72"/>
      <c r="D22" s="72"/>
      <c r="E22" s="72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16" t="s">
        <v>132</v>
      </c>
    </row>
    <row r="24" spans="1:6" ht="16.5" customHeight="1" x14ac:dyDescent="0.3">
      <c r="A24" s="17">
        <v>1</v>
      </c>
      <c r="B24" s="18">
        <v>34026610</v>
      </c>
      <c r="C24" s="18">
        <v>11085.1</v>
      </c>
      <c r="D24" s="19">
        <v>1.1000000000000001</v>
      </c>
      <c r="E24" s="20">
        <v>10.1</v>
      </c>
      <c r="F24" s="20">
        <v>20.263680000000001</v>
      </c>
    </row>
    <row r="25" spans="1:6" ht="16.5" customHeight="1" x14ac:dyDescent="0.3">
      <c r="A25" s="17">
        <v>2</v>
      </c>
      <c r="B25" s="18">
        <v>34186209</v>
      </c>
      <c r="C25" s="18">
        <v>10788.7</v>
      </c>
      <c r="D25" s="19">
        <v>1.1000000000000001</v>
      </c>
      <c r="E25" s="19">
        <v>10.1</v>
      </c>
      <c r="F25" s="19">
        <v>20.00177</v>
      </c>
    </row>
    <row r="26" spans="1:6" ht="16.5" customHeight="1" x14ac:dyDescent="0.3">
      <c r="A26" s="17">
        <v>3</v>
      </c>
      <c r="B26" s="18">
        <v>34004126</v>
      </c>
      <c r="C26" s="18">
        <v>10396.700000000001</v>
      </c>
      <c r="D26" s="19">
        <v>1.2</v>
      </c>
      <c r="E26" s="19">
        <v>10.1</v>
      </c>
      <c r="F26" s="19">
        <v>19.650780000000001</v>
      </c>
    </row>
    <row r="27" spans="1:6" ht="16.5" customHeight="1" x14ac:dyDescent="0.3">
      <c r="A27" s="17">
        <v>4</v>
      </c>
      <c r="B27" s="18">
        <v>34149252</v>
      </c>
      <c r="C27" s="18">
        <v>10204.5</v>
      </c>
      <c r="D27" s="19">
        <v>1.2</v>
      </c>
      <c r="E27" s="19">
        <v>10.1</v>
      </c>
      <c r="F27" s="19">
        <v>19.45318</v>
      </c>
    </row>
    <row r="28" spans="1:6" ht="16.5" customHeight="1" x14ac:dyDescent="0.3">
      <c r="A28" s="17">
        <v>5</v>
      </c>
      <c r="B28" s="18">
        <v>34423121</v>
      </c>
      <c r="C28" s="18">
        <v>10070.299999999999</v>
      </c>
      <c r="D28" s="19">
        <v>1.2</v>
      </c>
      <c r="E28" s="19">
        <v>10.1</v>
      </c>
      <c r="F28" s="19">
        <v>19.3294</v>
      </c>
    </row>
    <row r="29" spans="1:6" ht="16.5" customHeight="1" x14ac:dyDescent="0.3">
      <c r="A29" s="17">
        <v>6</v>
      </c>
      <c r="B29" s="21">
        <v>34330256</v>
      </c>
      <c r="C29" s="21">
        <v>10009.200000000001</v>
      </c>
      <c r="D29" s="19">
        <v>1.2</v>
      </c>
      <c r="E29" s="19">
        <v>10.1</v>
      </c>
      <c r="F29" s="19">
        <v>19.247440000000001</v>
      </c>
    </row>
    <row r="30" spans="1:6" ht="16.5" customHeight="1" x14ac:dyDescent="0.3">
      <c r="A30" s="23" t="s">
        <v>18</v>
      </c>
      <c r="B30" s="24">
        <f>AVERAGE(B24:B29)</f>
        <v>34186595.666666664</v>
      </c>
      <c r="C30" s="530">
        <f>AVERAGE(C24:C29)</f>
        <v>10425.75</v>
      </c>
      <c r="D30" s="26">
        <f>AVERAGE(D24:D29)</f>
        <v>1.1666666666666667</v>
      </c>
      <c r="E30" s="26">
        <f>AVERAGE(E24:E29)</f>
        <v>10.1</v>
      </c>
      <c r="F30" s="26">
        <f>AVERAGE(F24:F29)</f>
        <v>19.657708333333336</v>
      </c>
    </row>
    <row r="31" spans="1:6" ht="16.5" customHeight="1" x14ac:dyDescent="0.3">
      <c r="A31" s="27" t="s">
        <v>19</v>
      </c>
      <c r="B31" s="28">
        <f>(STDEV(B24:B29)/B30)</f>
        <v>4.8396038288409703E-3</v>
      </c>
      <c r="C31" s="29"/>
      <c r="D31" s="29"/>
      <c r="E31" s="29"/>
      <c r="F31" s="30"/>
    </row>
    <row r="32" spans="1:6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73"/>
      <c r="F32" s="35"/>
    </row>
    <row r="33" spans="1:6" s="408" customFormat="1" ht="15.75" customHeight="1" x14ac:dyDescent="0.3">
      <c r="A33" s="72"/>
      <c r="B33" s="72"/>
      <c r="C33" s="72"/>
      <c r="D33" s="72"/>
      <c r="E33" s="72"/>
    </row>
    <row r="34" spans="1:6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6" ht="16.5" customHeight="1" x14ac:dyDescent="0.3">
      <c r="A35" s="75"/>
      <c r="B35" s="40" t="s">
        <v>23</v>
      </c>
      <c r="C35" s="39"/>
      <c r="D35" s="39"/>
      <c r="E35" s="39"/>
    </row>
    <row r="36" spans="1:6" ht="16.5" customHeight="1" x14ac:dyDescent="0.3">
      <c r="A36" s="75"/>
      <c r="B36" s="40" t="s">
        <v>24</v>
      </c>
      <c r="C36" s="39"/>
      <c r="D36" s="39"/>
      <c r="E36" s="39"/>
    </row>
    <row r="37" spans="1:6" ht="15.75" customHeight="1" x14ac:dyDescent="0.3">
      <c r="A37" s="72"/>
      <c r="B37" s="474" t="s">
        <v>133</v>
      </c>
      <c r="C37" s="72"/>
      <c r="D37" s="72"/>
      <c r="E37" s="72"/>
    </row>
    <row r="38" spans="1:6" ht="16.5" customHeight="1" x14ac:dyDescent="0.3">
      <c r="A38" s="90" t="s">
        <v>1</v>
      </c>
      <c r="B38" s="59" t="s">
        <v>25</v>
      </c>
    </row>
    <row r="39" spans="1:6" ht="16.5" customHeight="1" x14ac:dyDescent="0.3">
      <c r="A39" s="75" t="s">
        <v>4</v>
      </c>
      <c r="B39" s="8" t="s">
        <v>131</v>
      </c>
      <c r="C39" s="72"/>
      <c r="D39" s="72"/>
      <c r="E39" s="72"/>
    </row>
    <row r="40" spans="1:6" ht="16.5" customHeight="1" x14ac:dyDescent="0.3">
      <c r="A40" s="75" t="s">
        <v>6</v>
      </c>
      <c r="B40" s="12">
        <v>99.02</v>
      </c>
      <c r="C40" s="72"/>
      <c r="D40" s="72"/>
      <c r="E40" s="72"/>
    </row>
    <row r="41" spans="1:6" ht="16.5" customHeight="1" x14ac:dyDescent="0.3">
      <c r="A41" s="8" t="s">
        <v>8</v>
      </c>
      <c r="B41" s="12">
        <v>16.05</v>
      </c>
      <c r="C41" s="72"/>
      <c r="D41" s="72"/>
      <c r="E41" s="72"/>
    </row>
    <row r="42" spans="1:6" ht="16.5" customHeight="1" x14ac:dyDescent="0.3">
      <c r="A42" s="8" t="s">
        <v>10</v>
      </c>
      <c r="B42" s="13">
        <v>0.16</v>
      </c>
      <c r="C42" s="72"/>
      <c r="D42" s="72"/>
      <c r="E42" s="72"/>
    </row>
    <row r="43" spans="1:6" ht="15.75" customHeight="1" x14ac:dyDescent="0.3">
      <c r="A43" s="72"/>
      <c r="B43" s="72"/>
      <c r="C43" s="72"/>
      <c r="D43" s="72"/>
      <c r="E43" s="72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16" t="s">
        <v>132</v>
      </c>
    </row>
    <row r="45" spans="1:6" ht="16.5" customHeight="1" x14ac:dyDescent="0.3">
      <c r="A45" s="17">
        <v>1</v>
      </c>
      <c r="B45" s="18">
        <v>34026610</v>
      </c>
      <c r="C45" s="18">
        <v>11085.1</v>
      </c>
      <c r="D45" s="19">
        <v>1.1000000000000001</v>
      </c>
      <c r="E45" s="20">
        <v>10.1</v>
      </c>
      <c r="F45" s="20">
        <v>20.263680000000001</v>
      </c>
    </row>
    <row r="46" spans="1:6" ht="16.5" customHeight="1" x14ac:dyDescent="0.3">
      <c r="A46" s="17">
        <v>2</v>
      </c>
      <c r="B46" s="18">
        <v>34186209</v>
      </c>
      <c r="C46" s="18">
        <v>10788.7</v>
      </c>
      <c r="D46" s="19">
        <v>1.1000000000000001</v>
      </c>
      <c r="E46" s="19">
        <v>10.1</v>
      </c>
      <c r="F46" s="19">
        <v>20.00177</v>
      </c>
    </row>
    <row r="47" spans="1:6" ht="16.5" customHeight="1" x14ac:dyDescent="0.3">
      <c r="A47" s="17">
        <v>3</v>
      </c>
      <c r="B47" s="18">
        <v>34004126</v>
      </c>
      <c r="C47" s="18">
        <v>10396.700000000001</v>
      </c>
      <c r="D47" s="19">
        <v>1.2</v>
      </c>
      <c r="E47" s="19">
        <v>10.1</v>
      </c>
      <c r="F47" s="19">
        <v>19.650780000000001</v>
      </c>
    </row>
    <row r="48" spans="1:6" ht="16.5" customHeight="1" x14ac:dyDescent="0.3">
      <c r="A48" s="17">
        <v>4</v>
      </c>
      <c r="B48" s="18">
        <v>34149252</v>
      </c>
      <c r="C48" s="18">
        <v>10204.5</v>
      </c>
      <c r="D48" s="19">
        <v>1.2</v>
      </c>
      <c r="E48" s="19">
        <v>10.1</v>
      </c>
      <c r="F48" s="19">
        <v>19.45318</v>
      </c>
    </row>
    <row r="49" spans="1:7" ht="16.5" customHeight="1" x14ac:dyDescent="0.3">
      <c r="A49" s="17">
        <v>5</v>
      </c>
      <c r="B49" s="18">
        <v>34423121</v>
      </c>
      <c r="C49" s="18">
        <v>10070.299999999999</v>
      </c>
      <c r="D49" s="19">
        <v>1.2</v>
      </c>
      <c r="E49" s="19">
        <v>10.1</v>
      </c>
      <c r="F49" s="19">
        <v>19.3294</v>
      </c>
    </row>
    <row r="50" spans="1:7" ht="16.5" customHeight="1" x14ac:dyDescent="0.3">
      <c r="A50" s="17">
        <v>6</v>
      </c>
      <c r="B50" s="21">
        <v>34330256</v>
      </c>
      <c r="C50" s="21">
        <v>10009.200000000001</v>
      </c>
      <c r="D50" s="19">
        <v>1.2</v>
      </c>
      <c r="E50" s="19">
        <v>10.1</v>
      </c>
      <c r="F50" s="19">
        <v>19.247440000000001</v>
      </c>
    </row>
    <row r="51" spans="1:7" ht="16.5" customHeight="1" x14ac:dyDescent="0.3">
      <c r="A51" s="23" t="s">
        <v>18</v>
      </c>
      <c r="B51" s="24">
        <f>AVERAGE(B45:B50)</f>
        <v>34186595.666666664</v>
      </c>
      <c r="C51" s="25">
        <f>AVERAGE(C45:C50)</f>
        <v>10425.75</v>
      </c>
      <c r="D51" s="26">
        <f>AVERAGE(D45:D50)</f>
        <v>1.1666666666666667</v>
      </c>
      <c r="E51" s="26">
        <f>AVERAGE(E45:E50)</f>
        <v>10.1</v>
      </c>
      <c r="F51" s="26">
        <f>AVERAGE(F45:F50)</f>
        <v>19.657708333333336</v>
      </c>
    </row>
    <row r="52" spans="1:7" ht="16.5" customHeight="1" x14ac:dyDescent="0.3">
      <c r="A52" s="27" t="s">
        <v>19</v>
      </c>
      <c r="B52" s="28">
        <f>(STDEV(B45:B50)/B51)</f>
        <v>4.8396038288409703E-3</v>
      </c>
      <c r="C52" s="29"/>
      <c r="D52" s="29"/>
      <c r="E52" s="29"/>
      <c r="F52" s="30"/>
    </row>
    <row r="53" spans="1:7" s="408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73"/>
      <c r="F53" s="35"/>
    </row>
    <row r="54" spans="1:7" s="408" customFormat="1" ht="15.75" customHeight="1" x14ac:dyDescent="0.3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474" t="s">
        <v>133</v>
      </c>
      <c r="D58" s="43"/>
      <c r="F58" s="44"/>
      <c r="G58" s="44"/>
    </row>
    <row r="59" spans="1:7" ht="15" customHeight="1" x14ac:dyDescent="0.3">
      <c r="B59" s="478" t="s">
        <v>26</v>
      </c>
      <c r="C59" s="47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76" t="s">
        <v>135</v>
      </c>
      <c r="C60" s="476" t="s">
        <v>136</v>
      </c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26" zoomScale="86" zoomScaleNormal="86" workbookViewId="0">
      <selection activeCell="C29" sqref="C29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77" t="s">
        <v>0</v>
      </c>
      <c r="B15" s="477"/>
      <c r="C15" s="477"/>
      <c r="D15" s="477"/>
      <c r="E15" s="47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75" t="s">
        <v>134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21.37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B20/25*4/100</f>
        <v>3.4192E-2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3102648</v>
      </c>
      <c r="C24" s="531">
        <v>6656.8</v>
      </c>
      <c r="D24" s="19">
        <v>1.2</v>
      </c>
      <c r="E24" s="20">
        <v>4.2</v>
      </c>
    </row>
    <row r="25" spans="1:6" ht="16.5" customHeight="1" x14ac:dyDescent="0.3">
      <c r="A25" s="17">
        <v>2</v>
      </c>
      <c r="B25" s="18">
        <v>3112879</v>
      </c>
      <c r="C25" s="531">
        <v>6518</v>
      </c>
      <c r="D25" s="19">
        <v>1.2</v>
      </c>
      <c r="E25" s="19">
        <v>4.2</v>
      </c>
    </row>
    <row r="26" spans="1:6" ht="16.5" customHeight="1" x14ac:dyDescent="0.3">
      <c r="A26" s="17">
        <v>3</v>
      </c>
      <c r="B26" s="18">
        <v>3099559</v>
      </c>
      <c r="C26" s="531">
        <v>6310.3</v>
      </c>
      <c r="D26" s="19">
        <v>1.2</v>
      </c>
      <c r="E26" s="19">
        <v>4.2</v>
      </c>
    </row>
    <row r="27" spans="1:6" ht="16.5" customHeight="1" x14ac:dyDescent="0.3">
      <c r="A27" s="17">
        <v>4</v>
      </c>
      <c r="B27" s="18">
        <v>3111388</v>
      </c>
      <c r="C27" s="531">
        <v>6165.9</v>
      </c>
      <c r="D27" s="19">
        <v>1.2</v>
      </c>
      <c r="E27" s="19">
        <v>4.2</v>
      </c>
    </row>
    <row r="28" spans="1:6" ht="16.5" customHeight="1" x14ac:dyDescent="0.3">
      <c r="A28" s="17">
        <v>5</v>
      </c>
      <c r="B28" s="18">
        <v>3135460</v>
      </c>
      <c r="C28" s="531">
        <v>6110.9</v>
      </c>
      <c r="D28" s="19">
        <v>1.2</v>
      </c>
      <c r="E28" s="19">
        <v>4.2</v>
      </c>
    </row>
    <row r="29" spans="1:6" ht="16.5" customHeight="1" x14ac:dyDescent="0.3">
      <c r="A29" s="17">
        <v>6</v>
      </c>
      <c r="B29" s="21">
        <v>3125235</v>
      </c>
      <c r="C29" s="532">
        <v>6074.2</v>
      </c>
      <c r="D29" s="22">
        <v>1.2</v>
      </c>
      <c r="E29" s="22">
        <v>4.2</v>
      </c>
    </row>
    <row r="30" spans="1:6" ht="16.5" customHeight="1" x14ac:dyDescent="0.3">
      <c r="A30" s="23" t="s">
        <v>18</v>
      </c>
      <c r="B30" s="24">
        <f>AVERAGE(B24:B29)</f>
        <v>3114528.1666666665</v>
      </c>
      <c r="C30" s="530">
        <f>AVERAGE(C24:C29)</f>
        <v>6306.0166666666664</v>
      </c>
      <c r="D30" s="26">
        <f>AVERAGE(D24:D29)</f>
        <v>1.2</v>
      </c>
      <c r="E30" s="26">
        <f>AVERAGE(E24:E29)</f>
        <v>4.2</v>
      </c>
    </row>
    <row r="31" spans="1:6" ht="16.5" customHeight="1" x14ac:dyDescent="0.3">
      <c r="A31" s="27" t="s">
        <v>19</v>
      </c>
      <c r="B31" s="28">
        <f>(STDEV(B24:B29)/B30)</f>
        <v>4.3802396649269488E-3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475" t="s">
        <v>134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21.37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B41/25*4/100</f>
        <v>3.4192E-2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3102648</v>
      </c>
      <c r="C45" s="18">
        <v>6656.8</v>
      </c>
      <c r="D45" s="19">
        <v>1.2</v>
      </c>
      <c r="E45" s="20">
        <v>4.2</v>
      </c>
    </row>
    <row r="46" spans="1:6" ht="16.5" customHeight="1" x14ac:dyDescent="0.3">
      <c r="A46" s="17">
        <v>2</v>
      </c>
      <c r="B46" s="18">
        <v>3112879</v>
      </c>
      <c r="C46" s="18">
        <v>6518</v>
      </c>
      <c r="D46" s="19">
        <v>1.2</v>
      </c>
      <c r="E46" s="19">
        <v>4.2</v>
      </c>
    </row>
    <row r="47" spans="1:6" ht="16.5" customHeight="1" x14ac:dyDescent="0.3">
      <c r="A47" s="17">
        <v>3</v>
      </c>
      <c r="B47" s="18">
        <v>3099559</v>
      </c>
      <c r="C47" s="18">
        <v>6310.3</v>
      </c>
      <c r="D47" s="19">
        <v>1.2</v>
      </c>
      <c r="E47" s="19">
        <v>4.2</v>
      </c>
    </row>
    <row r="48" spans="1:6" ht="16.5" customHeight="1" x14ac:dyDescent="0.3">
      <c r="A48" s="17">
        <v>4</v>
      </c>
      <c r="B48" s="18">
        <v>3111388</v>
      </c>
      <c r="C48" s="18">
        <v>6165.9</v>
      </c>
      <c r="D48" s="19">
        <v>1.2</v>
      </c>
      <c r="E48" s="19">
        <v>4.2</v>
      </c>
    </row>
    <row r="49" spans="1:7" ht="16.5" customHeight="1" x14ac:dyDescent="0.3">
      <c r="A49" s="17">
        <v>5</v>
      </c>
      <c r="B49" s="18">
        <v>3135460</v>
      </c>
      <c r="C49" s="18">
        <v>6110.9</v>
      </c>
      <c r="D49" s="19">
        <v>1.2</v>
      </c>
      <c r="E49" s="19">
        <v>4.2</v>
      </c>
    </row>
    <row r="50" spans="1:7" ht="16.5" customHeight="1" x14ac:dyDescent="0.3">
      <c r="A50" s="17">
        <v>6</v>
      </c>
      <c r="B50" s="21">
        <v>3125235</v>
      </c>
      <c r="C50" s="21">
        <v>6074.2</v>
      </c>
      <c r="D50" s="22">
        <v>1.2</v>
      </c>
      <c r="E50" s="22">
        <v>4.2</v>
      </c>
    </row>
    <row r="51" spans="1:7" ht="16.5" customHeight="1" x14ac:dyDescent="0.3">
      <c r="A51" s="23" t="s">
        <v>18</v>
      </c>
      <c r="B51" s="24">
        <f>AVERAGE(B45:B50)</f>
        <v>3114528.1666666665</v>
      </c>
      <c r="C51" s="25">
        <f>AVERAGE(C45:C50)</f>
        <v>6306.0166666666664</v>
      </c>
      <c r="D51" s="26">
        <f>AVERAGE(D45:D50)</f>
        <v>1.2</v>
      </c>
      <c r="E51" s="26">
        <f>AVERAGE(E45:E50)</f>
        <v>4.2</v>
      </c>
    </row>
    <row r="52" spans="1:7" ht="16.5" customHeight="1" x14ac:dyDescent="0.3">
      <c r="A52" s="27" t="s">
        <v>19</v>
      </c>
      <c r="B52" s="28">
        <f>(STDEV(B45:B50)/B51)</f>
        <v>4.3802396649269488E-3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478" t="s">
        <v>26</v>
      </c>
      <c r="C59" s="47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76" t="s">
        <v>135</v>
      </c>
      <c r="C60" s="476" t="s">
        <v>136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3" workbookViewId="0">
      <selection activeCell="A10" sqref="A10:F5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82" t="s">
        <v>31</v>
      </c>
      <c r="B11" s="483"/>
      <c r="C11" s="483"/>
      <c r="D11" s="483"/>
      <c r="E11" s="483"/>
      <c r="F11" s="484"/>
      <c r="G11" s="91"/>
    </row>
    <row r="12" spans="1:7" ht="16.5" customHeight="1" x14ac:dyDescent="0.3">
      <c r="A12" s="481" t="s">
        <v>32</v>
      </c>
      <c r="B12" s="481"/>
      <c r="C12" s="481"/>
      <c r="D12" s="481"/>
      <c r="E12" s="481"/>
      <c r="F12" s="481"/>
      <c r="G12" s="90"/>
    </row>
    <row r="14" spans="1:7" ht="16.5" customHeight="1" x14ac:dyDescent="0.3">
      <c r="A14" s="486" t="s">
        <v>33</v>
      </c>
      <c r="B14" s="486"/>
      <c r="C14" s="60" t="s">
        <v>5</v>
      </c>
    </row>
    <row r="15" spans="1:7" ht="16.5" customHeight="1" x14ac:dyDescent="0.3">
      <c r="A15" s="486" t="s">
        <v>34</v>
      </c>
      <c r="B15" s="486"/>
      <c r="C15" s="60" t="s">
        <v>7</v>
      </c>
    </row>
    <row r="16" spans="1:7" ht="16.5" customHeight="1" x14ac:dyDescent="0.3">
      <c r="A16" s="486" t="s">
        <v>35</v>
      </c>
      <c r="B16" s="486"/>
      <c r="C16" s="60" t="s">
        <v>9</v>
      </c>
    </row>
    <row r="17" spans="1:5" ht="16.5" customHeight="1" x14ac:dyDescent="0.3">
      <c r="A17" s="486" t="s">
        <v>36</v>
      </c>
      <c r="B17" s="486"/>
      <c r="C17" s="60" t="s">
        <v>11</v>
      </c>
    </row>
    <row r="18" spans="1:5" ht="16.5" customHeight="1" x14ac:dyDescent="0.3">
      <c r="A18" s="486" t="s">
        <v>37</v>
      </c>
      <c r="B18" s="486"/>
      <c r="C18" s="97" t="s">
        <v>12</v>
      </c>
    </row>
    <row r="19" spans="1:5" ht="16.5" customHeight="1" x14ac:dyDescent="0.3">
      <c r="A19" s="486" t="s">
        <v>38</v>
      </c>
      <c r="B19" s="48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81" t="s">
        <v>1</v>
      </c>
      <c r="B21" s="481"/>
      <c r="C21" s="59" t="s">
        <v>39</v>
      </c>
      <c r="D21" s="66"/>
    </row>
    <row r="22" spans="1:5" ht="15.75" customHeight="1" x14ac:dyDescent="0.3">
      <c r="A22" s="485"/>
      <c r="B22" s="485"/>
      <c r="C22" s="57"/>
      <c r="D22" s="485"/>
      <c r="E22" s="48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1059.73</v>
      </c>
      <c r="D24" s="87">
        <f t="shared" ref="D24:D43" si="0">(C24-$C$46)/$C$46</f>
        <v>1.6625095932463474E-2</v>
      </c>
      <c r="E24" s="53"/>
    </row>
    <row r="25" spans="1:5" ht="15.75" customHeight="1" x14ac:dyDescent="0.3">
      <c r="C25" s="95">
        <v>1044.8599999999999</v>
      </c>
      <c r="D25" s="88">
        <f t="shared" si="0"/>
        <v>2.3599386032231474E-3</v>
      </c>
      <c r="E25" s="53"/>
    </row>
    <row r="26" spans="1:5" ht="15.75" customHeight="1" x14ac:dyDescent="0.3">
      <c r="C26" s="95">
        <v>1042.1500000000001</v>
      </c>
      <c r="D26" s="88">
        <f t="shared" si="0"/>
        <v>-2.3983115886415962E-4</v>
      </c>
      <c r="E26" s="53"/>
    </row>
    <row r="27" spans="1:5" ht="15.75" customHeight="1" x14ac:dyDescent="0.3">
      <c r="C27" s="95">
        <v>1042.0999999999999</v>
      </c>
      <c r="D27" s="88">
        <f t="shared" si="0"/>
        <v>-2.8779739063716602E-4</v>
      </c>
      <c r="E27" s="53"/>
    </row>
    <row r="28" spans="1:5" ht="15.75" customHeight="1" x14ac:dyDescent="0.3">
      <c r="C28" s="95">
        <v>1046.28</v>
      </c>
      <c r="D28" s="88">
        <f t="shared" si="0"/>
        <v>3.7221795855716436E-3</v>
      </c>
      <c r="E28" s="53"/>
    </row>
    <row r="29" spans="1:5" ht="15.75" customHeight="1" x14ac:dyDescent="0.3">
      <c r="C29" s="95">
        <v>1046.03</v>
      </c>
      <c r="D29" s="88">
        <f t="shared" si="0"/>
        <v>3.4823484267074841E-3</v>
      </c>
      <c r="E29" s="53"/>
    </row>
    <row r="30" spans="1:5" ht="15.75" customHeight="1" x14ac:dyDescent="0.3">
      <c r="C30" s="95">
        <v>1044.08</v>
      </c>
      <c r="D30" s="88">
        <f t="shared" si="0"/>
        <v>1.6116653875669956E-3</v>
      </c>
      <c r="E30" s="53"/>
    </row>
    <row r="31" spans="1:5" ht="15.75" customHeight="1" x14ac:dyDescent="0.3">
      <c r="C31" s="95">
        <v>1039.76</v>
      </c>
      <c r="D31" s="88">
        <f t="shared" si="0"/>
        <v>-2.5326170376056213E-3</v>
      </c>
      <c r="E31" s="53"/>
    </row>
    <row r="32" spans="1:5" ht="15.75" customHeight="1" x14ac:dyDescent="0.3">
      <c r="C32" s="95">
        <v>1034.43</v>
      </c>
      <c r="D32" s="88">
        <f t="shared" si="0"/>
        <v>-7.6458173445894343E-3</v>
      </c>
      <c r="E32" s="53"/>
    </row>
    <row r="33" spans="1:7" ht="15.75" customHeight="1" x14ac:dyDescent="0.3">
      <c r="C33" s="95">
        <v>1032.45</v>
      </c>
      <c r="D33" s="88">
        <f t="shared" si="0"/>
        <v>-9.5452801227935962E-3</v>
      </c>
      <c r="E33" s="53"/>
    </row>
    <row r="34" spans="1:7" ht="15.75" customHeight="1" x14ac:dyDescent="0.3">
      <c r="C34" s="95">
        <v>1031.04</v>
      </c>
      <c r="D34" s="88">
        <f t="shared" si="0"/>
        <v>-1.0897927858787534E-2</v>
      </c>
      <c r="E34" s="53"/>
    </row>
    <row r="35" spans="1:7" ht="15.75" customHeight="1" x14ac:dyDescent="0.3">
      <c r="C35" s="95">
        <v>1060.4100000000001</v>
      </c>
      <c r="D35" s="88">
        <f t="shared" si="0"/>
        <v>1.727743668457405E-2</v>
      </c>
      <c r="E35" s="53"/>
    </row>
    <row r="36" spans="1:7" ht="15.75" customHeight="1" x14ac:dyDescent="0.3">
      <c r="C36" s="95">
        <v>1048.24</v>
      </c>
      <c r="D36" s="88">
        <f t="shared" si="0"/>
        <v>5.6024558710666902E-3</v>
      </c>
      <c r="E36" s="53"/>
    </row>
    <row r="37" spans="1:7" ht="15.75" customHeight="1" x14ac:dyDescent="0.3">
      <c r="C37" s="95">
        <v>1029.69</v>
      </c>
      <c r="D37" s="88">
        <f t="shared" si="0"/>
        <v>-1.219301611665391E-2</v>
      </c>
      <c r="E37" s="53"/>
    </row>
    <row r="38" spans="1:7" ht="15.75" customHeight="1" x14ac:dyDescent="0.3">
      <c r="C38" s="95">
        <v>1052.71</v>
      </c>
      <c r="D38" s="88">
        <f t="shared" si="0"/>
        <v>9.8906369915578891E-3</v>
      </c>
      <c r="E38" s="53"/>
    </row>
    <row r="39" spans="1:7" ht="15.75" customHeight="1" x14ac:dyDescent="0.3">
      <c r="C39" s="95">
        <v>1052.6500000000001</v>
      </c>
      <c r="D39" s="88">
        <f t="shared" si="0"/>
        <v>9.8330775134305437E-3</v>
      </c>
      <c r="E39" s="53"/>
    </row>
    <row r="40" spans="1:7" ht="15.75" customHeight="1" x14ac:dyDescent="0.3">
      <c r="C40" s="95">
        <v>1024.96</v>
      </c>
      <c r="D40" s="88">
        <f t="shared" si="0"/>
        <v>-1.6730621642363826E-2</v>
      </c>
      <c r="E40" s="53"/>
    </row>
    <row r="41" spans="1:7" ht="15.75" customHeight="1" x14ac:dyDescent="0.3">
      <c r="C41" s="95">
        <v>1050.5899999999999</v>
      </c>
      <c r="D41" s="88">
        <f t="shared" si="0"/>
        <v>7.8568687643897038E-3</v>
      </c>
      <c r="E41" s="53"/>
    </row>
    <row r="42" spans="1:7" ht="15.75" customHeight="1" x14ac:dyDescent="0.3">
      <c r="C42" s="95">
        <v>1022.09</v>
      </c>
      <c r="D42" s="88">
        <f t="shared" si="0"/>
        <v>-1.9483883346124383E-2</v>
      </c>
      <c r="E42" s="53"/>
    </row>
    <row r="43" spans="1:7" ht="16.5" customHeight="1" x14ac:dyDescent="0.3">
      <c r="C43" s="96">
        <v>1043.75</v>
      </c>
      <c r="D43" s="89">
        <f t="shared" si="0"/>
        <v>1.2950882578663747E-3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20848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1042.4000000000001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9">
        <f>C46</f>
        <v>1042.4000000000001</v>
      </c>
      <c r="C49" s="93">
        <f>-IF(C46&lt;=80,10%,IF(C46&lt;250,7.5%,5%))</f>
        <v>-0.05</v>
      </c>
      <c r="D49" s="81">
        <f>IF(C46&lt;=80,C46*0.9,IF(C46&lt;250,C46*0.925,C46*0.95))</f>
        <v>990.28000000000009</v>
      </c>
    </row>
    <row r="50" spans="1:6" ht="17.25" customHeight="1" x14ac:dyDescent="0.3">
      <c r="B50" s="480"/>
      <c r="C50" s="94">
        <f>IF(C46&lt;=80, 10%, IF(C46&lt;250, 7.5%, 5%))</f>
        <v>0.05</v>
      </c>
      <c r="D50" s="81">
        <f>IF(C46&lt;=80, C46*1.1, IF(C46&lt;250, C46*1.075, C46*1.05))</f>
        <v>1094.5200000000002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9" zoomScale="48" zoomScaleNormal="40" zoomScalePageLayoutView="48" workbookViewId="0">
      <selection sqref="A1:I129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87" t="s">
        <v>45</v>
      </c>
      <c r="B1" s="487"/>
      <c r="C1" s="487"/>
      <c r="D1" s="487"/>
      <c r="E1" s="487"/>
      <c r="F1" s="487"/>
      <c r="G1" s="487"/>
      <c r="H1" s="487"/>
      <c r="I1" s="487"/>
    </row>
    <row r="2" spans="1:9" ht="18.75" customHeight="1" x14ac:dyDescent="0.3">
      <c r="A2" s="487"/>
      <c r="B2" s="487"/>
      <c r="C2" s="487"/>
      <c r="D2" s="487"/>
      <c r="E2" s="487"/>
      <c r="F2" s="487"/>
      <c r="G2" s="487"/>
      <c r="H2" s="487"/>
      <c r="I2" s="487"/>
    </row>
    <row r="3" spans="1:9" ht="18.75" customHeight="1" x14ac:dyDescent="0.3">
      <c r="A3" s="487"/>
      <c r="B3" s="487"/>
      <c r="C3" s="487"/>
      <c r="D3" s="487"/>
      <c r="E3" s="487"/>
      <c r="F3" s="487"/>
      <c r="G3" s="487"/>
      <c r="H3" s="487"/>
      <c r="I3" s="487"/>
    </row>
    <row r="4" spans="1:9" ht="18.75" customHeight="1" x14ac:dyDescent="0.3">
      <c r="A4" s="487"/>
      <c r="B4" s="487"/>
      <c r="C4" s="487"/>
      <c r="D4" s="487"/>
      <c r="E4" s="487"/>
      <c r="F4" s="487"/>
      <c r="G4" s="487"/>
      <c r="H4" s="487"/>
      <c r="I4" s="487"/>
    </row>
    <row r="5" spans="1:9" ht="18.75" customHeight="1" x14ac:dyDescent="0.3">
      <c r="A5" s="487"/>
      <c r="B5" s="487"/>
      <c r="C5" s="487"/>
      <c r="D5" s="487"/>
      <c r="E5" s="487"/>
      <c r="F5" s="487"/>
      <c r="G5" s="487"/>
      <c r="H5" s="487"/>
      <c r="I5" s="487"/>
    </row>
    <row r="6" spans="1:9" ht="18.75" customHeight="1" x14ac:dyDescent="0.3">
      <c r="A6" s="487"/>
      <c r="B6" s="487"/>
      <c r="C6" s="487"/>
      <c r="D6" s="487"/>
      <c r="E6" s="487"/>
      <c r="F6" s="487"/>
      <c r="G6" s="487"/>
      <c r="H6" s="487"/>
      <c r="I6" s="487"/>
    </row>
    <row r="7" spans="1:9" ht="18.75" customHeight="1" x14ac:dyDescent="0.3">
      <c r="A7" s="487"/>
      <c r="B7" s="487"/>
      <c r="C7" s="487"/>
      <c r="D7" s="487"/>
      <c r="E7" s="487"/>
      <c r="F7" s="487"/>
      <c r="G7" s="487"/>
      <c r="H7" s="487"/>
      <c r="I7" s="487"/>
    </row>
    <row r="8" spans="1:9" x14ac:dyDescent="0.3">
      <c r="A8" s="488" t="s">
        <v>46</v>
      </c>
      <c r="B8" s="488"/>
      <c r="C8" s="488"/>
      <c r="D8" s="488"/>
      <c r="E8" s="488"/>
      <c r="F8" s="488"/>
      <c r="G8" s="488"/>
      <c r="H8" s="488"/>
      <c r="I8" s="488"/>
    </row>
    <row r="9" spans="1:9" x14ac:dyDescent="0.3">
      <c r="A9" s="488"/>
      <c r="B9" s="488"/>
      <c r="C9" s="488"/>
      <c r="D9" s="488"/>
      <c r="E9" s="488"/>
      <c r="F9" s="488"/>
      <c r="G9" s="488"/>
      <c r="H9" s="488"/>
      <c r="I9" s="488"/>
    </row>
    <row r="10" spans="1:9" x14ac:dyDescent="0.3">
      <c r="A10" s="488"/>
      <c r="B10" s="488"/>
      <c r="C10" s="488"/>
      <c r="D10" s="488"/>
      <c r="E10" s="488"/>
      <c r="F10" s="488"/>
      <c r="G10" s="488"/>
      <c r="H10" s="488"/>
      <c r="I10" s="488"/>
    </row>
    <row r="11" spans="1:9" x14ac:dyDescent="0.3">
      <c r="A11" s="488"/>
      <c r="B11" s="488"/>
      <c r="C11" s="488"/>
      <c r="D11" s="488"/>
      <c r="E11" s="488"/>
      <c r="F11" s="488"/>
      <c r="G11" s="488"/>
      <c r="H11" s="488"/>
      <c r="I11" s="488"/>
    </row>
    <row r="12" spans="1:9" x14ac:dyDescent="0.3">
      <c r="A12" s="488"/>
      <c r="B12" s="488"/>
      <c r="C12" s="488"/>
      <c r="D12" s="488"/>
      <c r="E12" s="488"/>
      <c r="F12" s="488"/>
      <c r="G12" s="488"/>
      <c r="H12" s="488"/>
      <c r="I12" s="488"/>
    </row>
    <row r="13" spans="1:9" x14ac:dyDescent="0.3">
      <c r="A13" s="488"/>
      <c r="B13" s="488"/>
      <c r="C13" s="488"/>
      <c r="D13" s="488"/>
      <c r="E13" s="488"/>
      <c r="F13" s="488"/>
      <c r="G13" s="488"/>
      <c r="H13" s="488"/>
      <c r="I13" s="488"/>
    </row>
    <row r="14" spans="1:9" x14ac:dyDescent="0.3">
      <c r="A14" s="488"/>
      <c r="B14" s="488"/>
      <c r="C14" s="488"/>
      <c r="D14" s="488"/>
      <c r="E14" s="488"/>
      <c r="F14" s="488"/>
      <c r="G14" s="488"/>
      <c r="H14" s="488"/>
      <c r="I14" s="488"/>
    </row>
    <row r="15" spans="1:9" ht="19.5" customHeight="1" x14ac:dyDescent="0.35">
      <c r="A15" s="98"/>
    </row>
    <row r="16" spans="1:9" ht="19.5" customHeight="1" x14ac:dyDescent="0.35">
      <c r="A16" s="521" t="s">
        <v>31</v>
      </c>
      <c r="B16" s="522"/>
      <c r="C16" s="522"/>
      <c r="D16" s="522"/>
      <c r="E16" s="522"/>
      <c r="F16" s="522"/>
      <c r="G16" s="522"/>
      <c r="H16" s="523"/>
    </row>
    <row r="17" spans="1:14" ht="20.25" customHeight="1" x14ac:dyDescent="0.3">
      <c r="A17" s="524" t="s">
        <v>47</v>
      </c>
      <c r="B17" s="524"/>
      <c r="C17" s="524"/>
      <c r="D17" s="524"/>
      <c r="E17" s="524"/>
      <c r="F17" s="524"/>
      <c r="G17" s="524"/>
      <c r="H17" s="524"/>
    </row>
    <row r="18" spans="1:14" ht="26.25" customHeight="1" x14ac:dyDescent="0.5">
      <c r="A18" s="100" t="s">
        <v>33</v>
      </c>
      <c r="B18" s="520" t="s">
        <v>5</v>
      </c>
      <c r="C18" s="520"/>
      <c r="D18" s="246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525" t="s">
        <v>9</v>
      </c>
      <c r="C20" s="525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525" t="s">
        <v>11</v>
      </c>
      <c r="C21" s="525"/>
      <c r="D21" s="525"/>
      <c r="E21" s="525"/>
      <c r="F21" s="525"/>
      <c r="G21" s="525"/>
      <c r="H21" s="525"/>
      <c r="I21" s="104"/>
    </row>
    <row r="22" spans="1:14" ht="26.25" customHeight="1" x14ac:dyDescent="0.5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>
        <v>43047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519" t="s">
        <v>131</v>
      </c>
      <c r="C26" s="520"/>
    </row>
    <row r="27" spans="1:14" ht="26.25" customHeight="1" x14ac:dyDescent="0.5">
      <c r="A27" s="109" t="s">
        <v>48</v>
      </c>
      <c r="B27" s="526" t="s">
        <v>137</v>
      </c>
      <c r="C27" s="527"/>
    </row>
    <row r="28" spans="1:14" ht="27" customHeight="1" x14ac:dyDescent="0.45">
      <c r="A28" s="109" t="s">
        <v>6</v>
      </c>
      <c r="B28" s="110">
        <v>99.02</v>
      </c>
    </row>
    <row r="29" spans="1:14" s="14" customFormat="1" ht="27" customHeight="1" x14ac:dyDescent="0.5">
      <c r="A29" s="109" t="s">
        <v>49</v>
      </c>
      <c r="B29" s="111">
        <v>0</v>
      </c>
      <c r="C29" s="495" t="s">
        <v>50</v>
      </c>
      <c r="D29" s="496"/>
      <c r="E29" s="496"/>
      <c r="F29" s="496"/>
      <c r="G29" s="497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99.02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498" t="s">
        <v>53</v>
      </c>
      <c r="D31" s="499"/>
      <c r="E31" s="499"/>
      <c r="F31" s="499"/>
      <c r="G31" s="499"/>
      <c r="H31" s="500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498" t="s">
        <v>55</v>
      </c>
      <c r="D32" s="499"/>
      <c r="E32" s="499"/>
      <c r="F32" s="499"/>
      <c r="G32" s="499"/>
      <c r="H32" s="500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100</v>
      </c>
      <c r="C36" s="99"/>
      <c r="D36" s="501" t="s">
        <v>59</v>
      </c>
      <c r="E36" s="528"/>
      <c r="F36" s="501" t="s">
        <v>60</v>
      </c>
      <c r="G36" s="502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1</v>
      </c>
      <c r="C38" s="131">
        <v>1</v>
      </c>
      <c r="D38" s="132">
        <v>34201928</v>
      </c>
      <c r="E38" s="133">
        <f>IF(ISBLANK(D38),"-",$D$48/$D$45*D38)</f>
        <v>34432821.589269549</v>
      </c>
      <c r="F38" s="132">
        <v>36104831</v>
      </c>
      <c r="G38" s="134">
        <f>IF(ISBLANK(F38),"-",$D$48/$F$45*F38)</f>
        <v>34663966.88737987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34342570</v>
      </c>
      <c r="E39" s="138">
        <f>IF(ISBLANK(D39),"-",$D$48/$D$45*D39)</f>
        <v>34574413.04849834</v>
      </c>
      <c r="F39" s="137">
        <v>36255794</v>
      </c>
      <c r="G39" s="139">
        <f>IF(ISBLANK(F39),"-",$D$48/$F$45*F39)</f>
        <v>34808905.287263796</v>
      </c>
      <c r="I39" s="503">
        <f>ABS((F43/D43*D42)-F42)/D42</f>
        <v>6.5625808491388193E-3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34327670</v>
      </c>
      <c r="E40" s="138">
        <f>IF(ISBLANK(D40),"-",$D$48/$D$45*D40)</f>
        <v>34559412.460178286</v>
      </c>
      <c r="F40" s="137">
        <v>36186045</v>
      </c>
      <c r="G40" s="139">
        <f>IF(ISBLANK(F40),"-",$D$48/$F$45*F40)</f>
        <v>34741939.815899931</v>
      </c>
      <c r="I40" s="503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34290722.666666664</v>
      </c>
      <c r="E42" s="148">
        <f>AVERAGE(E38:E41)</f>
        <v>34522215.699315391</v>
      </c>
      <c r="F42" s="147">
        <f>AVERAGE(F38:F41)</f>
        <v>36182223.333333336</v>
      </c>
      <c r="G42" s="149">
        <f>AVERAGE(G38:G41)</f>
        <v>34738270.663514532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16.05</v>
      </c>
      <c r="E43" s="140"/>
      <c r="F43" s="152">
        <v>16.829999999999998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16.05</v>
      </c>
      <c r="E44" s="155"/>
      <c r="F44" s="154">
        <f>F43*$B$34</f>
        <v>16.829999999999998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15.892709999999999</v>
      </c>
      <c r="E45" s="158"/>
      <c r="F45" s="157">
        <f>F44*$B$30/100</f>
        <v>16.665065999999996</v>
      </c>
      <c r="H45" s="150"/>
    </row>
    <row r="46" spans="1:14" ht="19.5" customHeight="1" x14ac:dyDescent="0.35">
      <c r="A46" s="489" t="s">
        <v>78</v>
      </c>
      <c r="B46" s="490"/>
      <c r="C46" s="153" t="s">
        <v>79</v>
      </c>
      <c r="D46" s="159">
        <f>D45/$B$45</f>
        <v>0.15892709999999999</v>
      </c>
      <c r="E46" s="160"/>
      <c r="F46" s="161">
        <f>F45/$B$45</f>
        <v>0.16665065999999995</v>
      </c>
      <c r="H46" s="150"/>
    </row>
    <row r="47" spans="1:14" ht="27" customHeight="1" x14ac:dyDescent="0.45">
      <c r="A47" s="491"/>
      <c r="B47" s="492"/>
      <c r="C47" s="162" t="s">
        <v>80</v>
      </c>
      <c r="D47" s="163">
        <v>0.16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16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34630243.181414969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3.9306594676658787E-3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 xml:space="preserve">Each tablet contains: Sulphamethoxazole BP 800 mg and Trimethoprim 
BP 160 mg.
</v>
      </c>
    </row>
    <row r="56" spans="1:12" ht="26.25" customHeight="1" x14ac:dyDescent="0.45">
      <c r="A56" s="177" t="s">
        <v>87</v>
      </c>
      <c r="B56" s="178">
        <v>800</v>
      </c>
      <c r="C56" s="99" t="str">
        <f>B20</f>
        <v>Sulfamethoxazole &amp; Trimethoprim</v>
      </c>
      <c r="H56" s="179"/>
    </row>
    <row r="57" spans="1:12" ht="18" x14ac:dyDescent="0.35">
      <c r="A57" s="176" t="s">
        <v>88</v>
      </c>
      <c r="B57" s="247">
        <f>Uniformity!C46</f>
        <v>1042.4000000000001</v>
      </c>
      <c r="H57" s="179"/>
    </row>
    <row r="58" spans="1:12" ht="19.5" customHeight="1" x14ac:dyDescent="0.35">
      <c r="H58" s="179"/>
    </row>
    <row r="59" spans="1:12" s="14" customFormat="1" ht="27" customHeight="1" thickBot="1" x14ac:dyDescent="0.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5">
      <c r="A60" s="124" t="s">
        <v>93</v>
      </c>
      <c r="B60" s="125">
        <v>2</v>
      </c>
      <c r="C60" s="506" t="s">
        <v>94</v>
      </c>
      <c r="D60" s="509">
        <v>1043.27</v>
      </c>
      <c r="E60" s="182">
        <v>1</v>
      </c>
      <c r="F60" s="183">
        <v>33044254</v>
      </c>
      <c r="G60" s="248">
        <f>IF(ISBLANK(F60),"-",(F60/$D$50*$D$47*$B$68)*($B$57/$D$60))</f>
        <v>762.72517476744758</v>
      </c>
      <c r="H60" s="266">
        <f t="shared" ref="H60:H71" si="0">IF(ISBLANK(F60),"-",(G60/$B$56)*100)</f>
        <v>95.340646845930948</v>
      </c>
      <c r="L60" s="112"/>
    </row>
    <row r="61" spans="1:12" s="14" customFormat="1" ht="26.25" customHeight="1" x14ac:dyDescent="0.45">
      <c r="A61" s="124" t="s">
        <v>95</v>
      </c>
      <c r="B61" s="125">
        <v>100</v>
      </c>
      <c r="C61" s="507"/>
      <c r="D61" s="510"/>
      <c r="E61" s="184">
        <v>2</v>
      </c>
      <c r="F61" s="137">
        <v>33047510</v>
      </c>
      <c r="G61" s="249">
        <f>IF(ISBLANK(F61),"-",(F61/$D$50*$D$47*$B$68)*($B$57/$D$60))</f>
        <v>762.80032953320631</v>
      </c>
      <c r="H61" s="267">
        <f t="shared" si="0"/>
        <v>95.350041191650789</v>
      </c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507"/>
      <c r="D62" s="510"/>
      <c r="E62" s="184">
        <v>3</v>
      </c>
      <c r="F62" s="185">
        <v>33015638</v>
      </c>
      <c r="G62" s="249">
        <f>IF(ISBLANK(F62),"-",(F62/$D$50*$D$47*$B$68)*($B$57/$D$60))</f>
        <v>762.06466224381359</v>
      </c>
      <c r="H62" s="267">
        <f t="shared" si="0"/>
        <v>95.258082780476698</v>
      </c>
      <c r="L62" s="112"/>
    </row>
    <row r="63" spans="1:12" ht="27" customHeight="1" thickBot="1" x14ac:dyDescent="0.5">
      <c r="A63" s="124" t="s">
        <v>97</v>
      </c>
      <c r="B63" s="125">
        <v>1</v>
      </c>
      <c r="C63" s="516"/>
      <c r="D63" s="511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506" t="s">
        <v>99</v>
      </c>
      <c r="D64" s="509">
        <v>1047.92</v>
      </c>
      <c r="E64" s="182">
        <v>1</v>
      </c>
      <c r="F64" s="183">
        <v>34305352</v>
      </c>
      <c r="G64" s="248">
        <f>IF(ISBLANK(F64),"-",(F64/$D$50*$D$47*$B$68)*($B$57/$D$64))</f>
        <v>788.32009847146219</v>
      </c>
      <c r="H64" s="266">
        <f t="shared" si="0"/>
        <v>98.540012308932774</v>
      </c>
    </row>
    <row r="65" spans="1:8" ht="26.25" customHeight="1" x14ac:dyDescent="0.45">
      <c r="A65" s="124" t="s">
        <v>100</v>
      </c>
      <c r="B65" s="125">
        <v>1</v>
      </c>
      <c r="C65" s="507"/>
      <c r="D65" s="510"/>
      <c r="E65" s="184">
        <v>2</v>
      </c>
      <c r="F65" s="137">
        <v>34423427</v>
      </c>
      <c r="G65" s="249">
        <f>IF(ISBLANK(F65),"-",(F65/$D$50*$D$47*$B$68)*($B$57/$D$64))</f>
        <v>791.03340383638067</v>
      </c>
      <c r="H65" s="267">
        <f t="shared" si="0"/>
        <v>98.879175479547584</v>
      </c>
    </row>
    <row r="66" spans="1:8" ht="26.25" customHeight="1" x14ac:dyDescent="0.45">
      <c r="A66" s="124" t="s">
        <v>101</v>
      </c>
      <c r="B66" s="125">
        <v>1</v>
      </c>
      <c r="C66" s="507"/>
      <c r="D66" s="510"/>
      <c r="E66" s="184">
        <v>3</v>
      </c>
      <c r="F66" s="137">
        <v>34396048</v>
      </c>
      <c r="G66" s="249">
        <f>IF(ISBLANK(F66),"-",(F66/$D$50*$D$47*$B$68)*($B$57/$D$64))</f>
        <v>790.40424789662961</v>
      </c>
      <c r="H66" s="267">
        <f t="shared" si="0"/>
        <v>98.800530987078702</v>
      </c>
    </row>
    <row r="67" spans="1:8" ht="27" customHeight="1" thickBot="1" x14ac:dyDescent="0.5">
      <c r="A67" s="124" t="s">
        <v>102</v>
      </c>
      <c r="B67" s="125">
        <v>1</v>
      </c>
      <c r="C67" s="516"/>
      <c r="D67" s="511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5">
      <c r="A68" s="124" t="s">
        <v>103</v>
      </c>
      <c r="B68" s="188">
        <f>(B67/B66)*(B65/B64)*(B63/B62)*(B61/B60)*B59</f>
        <v>5000</v>
      </c>
      <c r="C68" s="506" t="s">
        <v>104</v>
      </c>
      <c r="D68" s="509">
        <v>1039.76</v>
      </c>
      <c r="E68" s="182">
        <v>1</v>
      </c>
      <c r="F68" s="183">
        <v>33976652</v>
      </c>
      <c r="G68" s="248">
        <f>IF(ISBLANK(F68),"-",(F68/$D$50*$D$47*$B$68)*($B$57/$D$68))</f>
        <v>786.89416424693127</v>
      </c>
      <c r="H68" s="267">
        <f t="shared" si="0"/>
        <v>98.361770530866409</v>
      </c>
    </row>
    <row r="69" spans="1:8" ht="27" customHeight="1" thickBot="1" x14ac:dyDescent="0.55000000000000004">
      <c r="A69" s="172" t="s">
        <v>105</v>
      </c>
      <c r="B69" s="189">
        <f>(D47*B68)/B56*B57</f>
        <v>1042.4000000000001</v>
      </c>
      <c r="C69" s="507"/>
      <c r="D69" s="510"/>
      <c r="E69" s="184">
        <v>2</v>
      </c>
      <c r="F69" s="137">
        <v>33956898</v>
      </c>
      <c r="G69" s="249">
        <f>IF(ISBLANK(F69),"-",(F69/$D$50*$D$47*$B$68)*($B$57/$D$68))</f>
        <v>786.4366645697844</v>
      </c>
      <c r="H69" s="267">
        <f t="shared" si="0"/>
        <v>98.30458307122305</v>
      </c>
    </row>
    <row r="70" spans="1:8" ht="26.25" customHeight="1" x14ac:dyDescent="0.45">
      <c r="A70" s="512" t="s">
        <v>78</v>
      </c>
      <c r="B70" s="513"/>
      <c r="C70" s="507"/>
      <c r="D70" s="510"/>
      <c r="E70" s="184">
        <v>3</v>
      </c>
      <c r="F70" s="137">
        <v>33998008</v>
      </c>
      <c r="G70" s="249">
        <f>IF(ISBLANK(F70),"-",(F70/$D$50*$D$47*$B$68)*($B$57/$D$68))</f>
        <v>787.38876600379831</v>
      </c>
      <c r="H70" s="267">
        <f t="shared" si="0"/>
        <v>98.423595750474789</v>
      </c>
    </row>
    <row r="71" spans="1:8" ht="27" customHeight="1" thickBot="1" x14ac:dyDescent="0.5">
      <c r="A71" s="514"/>
      <c r="B71" s="515"/>
      <c r="C71" s="508"/>
      <c r="D71" s="511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71</v>
      </c>
      <c r="G72" s="254">
        <f>AVERAGE(G60:G71)</f>
        <v>779.7852790632727</v>
      </c>
      <c r="H72" s="269">
        <f>AVERAGE(H60:H71)</f>
        <v>97.473159882909087</v>
      </c>
    </row>
    <row r="73" spans="1:8" ht="26.25" customHeight="1" x14ac:dyDescent="0.45">
      <c r="C73" s="190"/>
      <c r="D73" s="190"/>
      <c r="E73" s="190"/>
      <c r="F73" s="193" t="s">
        <v>84</v>
      </c>
      <c r="G73" s="253">
        <f>STDEV(G60:G71)/G72</f>
        <v>1.6709881113478812E-2</v>
      </c>
      <c r="H73" s="253">
        <f>STDEV(H60:H71)/H72</f>
        <v>1.6709881113478812E-2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5">
      <c r="A76" s="108" t="s">
        <v>106</v>
      </c>
      <c r="B76" s="197" t="s">
        <v>107</v>
      </c>
      <c r="C76" s="493" t="str">
        <f>B26</f>
        <v>SULFAMETHOXAZOLE</v>
      </c>
      <c r="D76" s="493"/>
      <c r="E76" s="198" t="s">
        <v>108</v>
      </c>
      <c r="F76" s="198"/>
      <c r="G76" s="285">
        <f>H72</f>
        <v>97.473159882909087</v>
      </c>
      <c r="H76" s="200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529" t="str">
        <f>B26</f>
        <v>SULFAMETHOXAZOLE</v>
      </c>
      <c r="C79" s="529"/>
    </row>
    <row r="80" spans="1:8" ht="26.25" customHeight="1" x14ac:dyDescent="0.45">
      <c r="A80" s="109" t="s">
        <v>48</v>
      </c>
      <c r="B80" s="529" t="str">
        <f>B27</f>
        <v>S12-6</v>
      </c>
      <c r="C80" s="529"/>
    </row>
    <row r="81" spans="1:12" ht="27" customHeight="1" x14ac:dyDescent="0.45">
      <c r="A81" s="109" t="s">
        <v>6</v>
      </c>
      <c r="B81" s="201">
        <f>B28</f>
        <v>99.02</v>
      </c>
    </row>
    <row r="82" spans="1:12" s="14" customFormat="1" ht="27" customHeight="1" x14ac:dyDescent="0.5">
      <c r="A82" s="109" t="s">
        <v>49</v>
      </c>
      <c r="B82" s="111">
        <v>0</v>
      </c>
      <c r="C82" s="495" t="s">
        <v>50</v>
      </c>
      <c r="D82" s="496"/>
      <c r="E82" s="496"/>
      <c r="F82" s="496"/>
      <c r="G82" s="497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99.02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498" t="s">
        <v>111</v>
      </c>
      <c r="D84" s="499"/>
      <c r="E84" s="499"/>
      <c r="F84" s="499"/>
      <c r="G84" s="499"/>
      <c r="H84" s="500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498" t="s">
        <v>112</v>
      </c>
      <c r="D85" s="499"/>
      <c r="E85" s="499"/>
      <c r="F85" s="499"/>
      <c r="G85" s="499"/>
      <c r="H85" s="500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100</v>
      </c>
      <c r="D89" s="202" t="s">
        <v>59</v>
      </c>
      <c r="E89" s="203"/>
      <c r="F89" s="501" t="s">
        <v>60</v>
      </c>
      <c r="G89" s="502"/>
    </row>
    <row r="90" spans="1:12" ht="27" customHeight="1" x14ac:dyDescent="0.45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1</v>
      </c>
      <c r="C91" s="206">
        <v>1</v>
      </c>
      <c r="D91" s="320">
        <v>34201928</v>
      </c>
      <c r="E91" s="133">
        <f>IF(ISBLANK(D91),"-",$D$101/$D$98*D91)</f>
        <v>38258690.654743947</v>
      </c>
      <c r="F91" s="320">
        <v>36104831</v>
      </c>
      <c r="G91" s="134">
        <f>IF(ISBLANK(F91),"-",$D$101/$F$98*F91)</f>
        <v>38515518.763755418</v>
      </c>
      <c r="I91" s="135"/>
    </row>
    <row r="92" spans="1:12" ht="26.25" customHeight="1" x14ac:dyDescent="0.45">
      <c r="A92" s="124" t="s">
        <v>67</v>
      </c>
      <c r="B92" s="125">
        <v>1</v>
      </c>
      <c r="C92" s="191">
        <v>2</v>
      </c>
      <c r="D92" s="325">
        <v>34342570</v>
      </c>
      <c r="E92" s="138">
        <f>IF(ISBLANK(D92),"-",$D$101/$D$98*D92)</f>
        <v>38416014.498331495</v>
      </c>
      <c r="F92" s="325">
        <v>36255794</v>
      </c>
      <c r="G92" s="139">
        <f>IF(ISBLANK(F92),"-",$D$101/$F$98*F92)</f>
        <v>38676561.430293106</v>
      </c>
      <c r="I92" s="503">
        <f>ABS((F96/D96*D95)-F95)/D95</f>
        <v>6.5625808491388193E-3</v>
      </c>
    </row>
    <row r="93" spans="1:12" ht="26.25" customHeight="1" x14ac:dyDescent="0.45">
      <c r="A93" s="124" t="s">
        <v>68</v>
      </c>
      <c r="B93" s="125">
        <v>1</v>
      </c>
      <c r="C93" s="191">
        <v>3</v>
      </c>
      <c r="D93" s="325">
        <v>34327670</v>
      </c>
      <c r="E93" s="138">
        <f>IF(ISBLANK(D93),"-",$D$101/$D$98*D93)</f>
        <v>38399347.177975878</v>
      </c>
      <c r="F93" s="325">
        <v>36186045</v>
      </c>
      <c r="G93" s="139">
        <f>IF(ISBLANK(F93),"-",$D$101/$F$98*F93)</f>
        <v>38602155.350999922</v>
      </c>
      <c r="I93" s="503"/>
    </row>
    <row r="94" spans="1:12" ht="27" customHeight="1" x14ac:dyDescent="0.45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09" t="s">
        <v>71</v>
      </c>
      <c r="D95" s="210">
        <f>AVERAGE(D91:D94)</f>
        <v>34290722.666666664</v>
      </c>
      <c r="E95" s="148">
        <f>AVERAGE(E91:E94)</f>
        <v>38358017.443683773</v>
      </c>
      <c r="F95" s="211">
        <f>AVERAGE(F91:F94)</f>
        <v>36182223.333333336</v>
      </c>
      <c r="G95" s="212">
        <f>AVERAGE(G91:G94)</f>
        <v>38598078.515016146</v>
      </c>
    </row>
    <row r="96" spans="1:12" ht="26.25" customHeight="1" x14ac:dyDescent="0.45">
      <c r="A96" s="124" t="s">
        <v>72</v>
      </c>
      <c r="B96" s="110">
        <v>1</v>
      </c>
      <c r="C96" s="213" t="s">
        <v>113</v>
      </c>
      <c r="D96" s="214">
        <v>16.05</v>
      </c>
      <c r="E96" s="140"/>
      <c r="F96" s="152">
        <v>16.829999999999998</v>
      </c>
    </row>
    <row r="97" spans="1:10" ht="26.25" customHeight="1" x14ac:dyDescent="0.45">
      <c r="A97" s="124" t="s">
        <v>74</v>
      </c>
      <c r="B97" s="110">
        <v>1</v>
      </c>
      <c r="C97" s="215" t="s">
        <v>114</v>
      </c>
      <c r="D97" s="216">
        <f>D96*$B$87</f>
        <v>16.05</v>
      </c>
      <c r="E97" s="155"/>
      <c r="F97" s="154">
        <f>F96*$B$87</f>
        <v>16.829999999999998</v>
      </c>
    </row>
    <row r="98" spans="1:10" ht="19.5" customHeight="1" x14ac:dyDescent="0.35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15.892709999999999</v>
      </c>
      <c r="E98" s="158"/>
      <c r="F98" s="157">
        <f>F97*$B$83/100</f>
        <v>16.665065999999996</v>
      </c>
    </row>
    <row r="99" spans="1:10" ht="19.5" customHeight="1" x14ac:dyDescent="0.35">
      <c r="A99" s="489" t="s">
        <v>78</v>
      </c>
      <c r="B99" s="504"/>
      <c r="C99" s="215" t="s">
        <v>116</v>
      </c>
      <c r="D99" s="219">
        <f>D98/$B$98</f>
        <v>0.15892709999999999</v>
      </c>
      <c r="E99" s="158"/>
      <c r="F99" s="161">
        <f>F98/$B$98</f>
        <v>0.16665065999999995</v>
      </c>
      <c r="G99" s="220"/>
      <c r="H99" s="150"/>
    </row>
    <row r="100" spans="1:10" ht="19.5" customHeight="1" x14ac:dyDescent="0.35">
      <c r="A100" s="491"/>
      <c r="B100" s="505"/>
      <c r="C100" s="215" t="s">
        <v>80</v>
      </c>
      <c r="D100" s="221">
        <f>$B$56/$B$116</f>
        <v>0.17777777777777778</v>
      </c>
      <c r="F100" s="166"/>
      <c r="G100" s="222"/>
      <c r="H100" s="150"/>
    </row>
    <row r="101" spans="1:10" ht="18" x14ac:dyDescent="0.35">
      <c r="C101" s="215" t="s">
        <v>81</v>
      </c>
      <c r="D101" s="216">
        <f>D100*$B$98</f>
        <v>17.777777777777779</v>
      </c>
      <c r="F101" s="166"/>
      <c r="G101" s="220"/>
      <c r="H101" s="150"/>
    </row>
    <row r="102" spans="1:10" ht="19.5" customHeight="1" x14ac:dyDescent="0.35">
      <c r="C102" s="223" t="s">
        <v>82</v>
      </c>
      <c r="D102" s="224">
        <f>D101/B34</f>
        <v>17.777777777777779</v>
      </c>
      <c r="F102" s="170"/>
      <c r="G102" s="220"/>
      <c r="H102" s="150"/>
      <c r="J102" s="225"/>
    </row>
    <row r="103" spans="1:10" ht="18" x14ac:dyDescent="0.35">
      <c r="C103" s="226" t="s">
        <v>117</v>
      </c>
      <c r="D103" s="227">
        <f>AVERAGE(E91:E94,G91:G94)</f>
        <v>38478047.979349963</v>
      </c>
      <c r="F103" s="170"/>
      <c r="G103" s="228"/>
      <c r="H103" s="150"/>
      <c r="J103" s="229"/>
    </row>
    <row r="104" spans="1:10" ht="18" x14ac:dyDescent="0.35">
      <c r="C104" s="193" t="s">
        <v>84</v>
      </c>
      <c r="D104" s="230">
        <f>STDEV(E91:E94,G91:G94)/D103</f>
        <v>3.9306594676658188E-3</v>
      </c>
      <c r="F104" s="170"/>
      <c r="G104" s="220"/>
      <c r="H104" s="150"/>
      <c r="J104" s="229"/>
    </row>
    <row r="105" spans="1:10" ht="19.5" customHeight="1" x14ac:dyDescent="0.35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5">
      <c r="A108" s="124" t="s">
        <v>122</v>
      </c>
      <c r="B108" s="125">
        <v>10</v>
      </c>
      <c r="C108" s="275">
        <v>1</v>
      </c>
      <c r="D108" s="276">
        <v>36591825</v>
      </c>
      <c r="E108" s="250">
        <f t="shared" ref="E108:E113" si="1">IF(ISBLANK(D108),"-",D108/$D$103*$D$100*$B$116)</f>
        <v>760.78339565744625</v>
      </c>
      <c r="F108" s="277">
        <f t="shared" ref="F108:F113" si="2">IF(ISBLANK(D108), "-", (E108/$B$56)*100)</f>
        <v>95.097924457180781</v>
      </c>
    </row>
    <row r="109" spans="1:10" ht="26.25" customHeight="1" x14ac:dyDescent="0.45">
      <c r="A109" s="124" t="s">
        <v>95</v>
      </c>
      <c r="B109" s="125">
        <v>50</v>
      </c>
      <c r="C109" s="271">
        <v>2</v>
      </c>
      <c r="D109" s="273">
        <v>37236111</v>
      </c>
      <c r="E109" s="251">
        <f t="shared" si="1"/>
        <v>774.17879451646877</v>
      </c>
      <c r="F109" s="278">
        <f t="shared" si="2"/>
        <v>96.772349314558596</v>
      </c>
    </row>
    <row r="110" spans="1:10" ht="26.25" customHeight="1" x14ac:dyDescent="0.45">
      <c r="A110" s="124" t="s">
        <v>96</v>
      </c>
      <c r="B110" s="125">
        <v>1</v>
      </c>
      <c r="C110" s="271">
        <v>3</v>
      </c>
      <c r="D110" s="273">
        <v>37407429</v>
      </c>
      <c r="E110" s="251">
        <f t="shared" si="1"/>
        <v>777.74067998616704</v>
      </c>
      <c r="F110" s="278">
        <f t="shared" si="2"/>
        <v>97.21758499827088</v>
      </c>
    </row>
    <row r="111" spans="1:10" ht="26.25" customHeight="1" x14ac:dyDescent="0.45">
      <c r="A111" s="124" t="s">
        <v>97</v>
      </c>
      <c r="B111" s="125">
        <v>1</v>
      </c>
      <c r="C111" s="271">
        <v>4</v>
      </c>
      <c r="D111" s="273">
        <v>37687363</v>
      </c>
      <c r="E111" s="251">
        <f t="shared" si="1"/>
        <v>783.56080891059128</v>
      </c>
      <c r="F111" s="278">
        <f t="shared" si="2"/>
        <v>97.94510111382391</v>
      </c>
    </row>
    <row r="112" spans="1:10" ht="26.25" customHeight="1" x14ac:dyDescent="0.45">
      <c r="A112" s="124" t="s">
        <v>98</v>
      </c>
      <c r="B112" s="125">
        <v>1</v>
      </c>
      <c r="C112" s="271">
        <v>5</v>
      </c>
      <c r="D112" s="273">
        <v>36459870</v>
      </c>
      <c r="E112" s="251">
        <f t="shared" si="1"/>
        <v>758.03990929200859</v>
      </c>
      <c r="F112" s="278">
        <f t="shared" si="2"/>
        <v>94.754988661501073</v>
      </c>
    </row>
    <row r="113" spans="1:10" ht="27" customHeight="1" x14ac:dyDescent="0.45">
      <c r="A113" s="124" t="s">
        <v>100</v>
      </c>
      <c r="B113" s="125">
        <v>1</v>
      </c>
      <c r="C113" s="272">
        <v>6</v>
      </c>
      <c r="D113" s="274">
        <v>37017466</v>
      </c>
      <c r="E113" s="252">
        <f t="shared" si="1"/>
        <v>769.63292981735833</v>
      </c>
      <c r="F113" s="279">
        <f t="shared" si="2"/>
        <v>96.204116227169791</v>
      </c>
    </row>
    <row r="114" spans="1:10" ht="27" customHeight="1" x14ac:dyDescent="0.45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5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770.65608636334002</v>
      </c>
      <c r="F115" s="281">
        <f>AVERAGE(F108:F113)</f>
        <v>96.332010795417503</v>
      </c>
    </row>
    <row r="116" spans="1:10" ht="27" customHeight="1" x14ac:dyDescent="0.45">
      <c r="A116" s="124" t="s">
        <v>103</v>
      </c>
      <c r="B116" s="156">
        <f>(B115/B114)*(B113/B112)*(B111/B110)*(B109/B108)*B107</f>
        <v>4500</v>
      </c>
      <c r="C116" s="234"/>
      <c r="D116" s="258" t="s">
        <v>84</v>
      </c>
      <c r="E116" s="256">
        <f>STDEV(E108:E113)/E115</f>
        <v>1.2803759855109637E-2</v>
      </c>
      <c r="F116" s="235">
        <f>STDEV(F108:F113)/F115</f>
        <v>1.2803759855109637E-2</v>
      </c>
      <c r="I116" s="98"/>
    </row>
    <row r="117" spans="1:10" ht="27" customHeight="1" x14ac:dyDescent="0.45">
      <c r="A117" s="489" t="s">
        <v>78</v>
      </c>
      <c r="B117" s="490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5">
      <c r="A118" s="491"/>
      <c r="B118" s="492"/>
      <c r="C118" s="98"/>
      <c r="D118" s="260"/>
      <c r="E118" s="517" t="s">
        <v>123</v>
      </c>
      <c r="F118" s="518"/>
      <c r="G118" s="98"/>
      <c r="H118" s="98"/>
      <c r="I118" s="98"/>
    </row>
    <row r="119" spans="1:10" ht="25.5" customHeight="1" x14ac:dyDescent="0.45">
      <c r="A119" s="245"/>
      <c r="B119" s="120"/>
      <c r="C119" s="98"/>
      <c r="D119" s="258" t="s">
        <v>124</v>
      </c>
      <c r="E119" s="263">
        <f>MIN(E108:E113)</f>
        <v>758.03990929200859</v>
      </c>
      <c r="F119" s="282">
        <f>MIN(F108:F113)</f>
        <v>94.754988661501073</v>
      </c>
      <c r="G119" s="98"/>
      <c r="H119" s="98"/>
      <c r="I119" s="98"/>
    </row>
    <row r="120" spans="1:10" ht="24" customHeight="1" x14ac:dyDescent="0.45">
      <c r="A120" s="245"/>
      <c r="B120" s="120"/>
      <c r="C120" s="98"/>
      <c r="D120" s="167" t="s">
        <v>125</v>
      </c>
      <c r="E120" s="264">
        <f>MAX(E108:E113)</f>
        <v>783.56080891059128</v>
      </c>
      <c r="F120" s="283">
        <f>MAX(F108:F113)</f>
        <v>97.94510111382391</v>
      </c>
      <c r="G120" s="98"/>
      <c r="H120" s="98"/>
      <c r="I120" s="98"/>
    </row>
    <row r="121" spans="1:10" ht="27" customHeight="1" x14ac:dyDescent="0.35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106</v>
      </c>
      <c r="B124" s="197" t="s">
        <v>126</v>
      </c>
      <c r="C124" s="493" t="str">
        <f>B26</f>
        <v>SULFAMETHOXAZOLE</v>
      </c>
      <c r="D124" s="493"/>
      <c r="E124" s="198" t="s">
        <v>127</v>
      </c>
      <c r="F124" s="198"/>
      <c r="G124" s="284">
        <f>F115</f>
        <v>96.332010795417503</v>
      </c>
      <c r="H124" s="98"/>
      <c r="I124" s="98"/>
    </row>
    <row r="125" spans="1:10" ht="45.75" customHeight="1" x14ac:dyDescent="0.85">
      <c r="A125" s="108"/>
      <c r="B125" s="197" t="s">
        <v>128</v>
      </c>
      <c r="C125" s="109" t="s">
        <v>129</v>
      </c>
      <c r="D125" s="284">
        <f>MIN(F108:F113)</f>
        <v>94.754988661501073</v>
      </c>
      <c r="E125" s="209" t="s">
        <v>130</v>
      </c>
      <c r="F125" s="284">
        <f>MAX(F108:F113)</f>
        <v>97.94510111382391</v>
      </c>
      <c r="G125" s="199"/>
      <c r="H125" s="98"/>
      <c r="I125" s="98"/>
    </row>
    <row r="126" spans="1:10" ht="19.5" customHeight="1" x14ac:dyDescent="0.35">
      <c r="A126" s="237"/>
      <c r="B126" s="237"/>
      <c r="C126" s="238"/>
      <c r="D126" s="238"/>
      <c r="E126" s="238"/>
      <c r="F126" s="238"/>
      <c r="G126" s="238"/>
      <c r="H126" s="238"/>
    </row>
    <row r="127" spans="1:10" ht="18" x14ac:dyDescent="0.35">
      <c r="B127" s="494" t="s">
        <v>26</v>
      </c>
      <c r="C127" s="494"/>
      <c r="E127" s="204" t="s">
        <v>27</v>
      </c>
      <c r="F127" s="239"/>
      <c r="G127" s="494" t="s">
        <v>28</v>
      </c>
      <c r="H127" s="494"/>
    </row>
    <row r="128" spans="1:10" ht="69.900000000000006" customHeight="1" x14ac:dyDescent="0.35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00000000000006" customHeight="1" x14ac:dyDescent="0.35">
      <c r="A129" s="240" t="s">
        <v>30</v>
      </c>
      <c r="B129" s="243"/>
      <c r="C129" s="243"/>
      <c r="E129" s="243"/>
      <c r="F129" s="98"/>
      <c r="G129" s="244"/>
      <c r="H129" s="244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60" zoomScaleNormal="40" zoomScalePageLayoutView="46" workbookViewId="0">
      <selection activeCell="J114" sqref="J114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87" t="s">
        <v>45</v>
      </c>
      <c r="B1" s="487"/>
      <c r="C1" s="487"/>
      <c r="D1" s="487"/>
      <c r="E1" s="487"/>
      <c r="F1" s="487"/>
      <c r="G1" s="487"/>
      <c r="H1" s="487"/>
      <c r="I1" s="487"/>
    </row>
    <row r="2" spans="1:9" ht="18.75" customHeight="1" x14ac:dyDescent="0.3">
      <c r="A2" s="487"/>
      <c r="B2" s="487"/>
      <c r="C2" s="487"/>
      <c r="D2" s="487"/>
      <c r="E2" s="487"/>
      <c r="F2" s="487"/>
      <c r="G2" s="487"/>
      <c r="H2" s="487"/>
      <c r="I2" s="487"/>
    </row>
    <row r="3" spans="1:9" ht="18.75" customHeight="1" x14ac:dyDescent="0.3">
      <c r="A3" s="487"/>
      <c r="B3" s="487"/>
      <c r="C3" s="487"/>
      <c r="D3" s="487"/>
      <c r="E3" s="487"/>
      <c r="F3" s="487"/>
      <c r="G3" s="487"/>
      <c r="H3" s="487"/>
      <c r="I3" s="487"/>
    </row>
    <row r="4" spans="1:9" ht="18.75" customHeight="1" x14ac:dyDescent="0.3">
      <c r="A4" s="487"/>
      <c r="B4" s="487"/>
      <c r="C4" s="487"/>
      <c r="D4" s="487"/>
      <c r="E4" s="487"/>
      <c r="F4" s="487"/>
      <c r="G4" s="487"/>
      <c r="H4" s="487"/>
      <c r="I4" s="487"/>
    </row>
    <row r="5" spans="1:9" ht="18.75" customHeight="1" x14ac:dyDescent="0.3">
      <c r="A5" s="487"/>
      <c r="B5" s="487"/>
      <c r="C5" s="487"/>
      <c r="D5" s="487"/>
      <c r="E5" s="487"/>
      <c r="F5" s="487"/>
      <c r="G5" s="487"/>
      <c r="H5" s="487"/>
      <c r="I5" s="487"/>
    </row>
    <row r="6" spans="1:9" ht="18.75" customHeight="1" x14ac:dyDescent="0.3">
      <c r="A6" s="487"/>
      <c r="B6" s="487"/>
      <c r="C6" s="487"/>
      <c r="D6" s="487"/>
      <c r="E6" s="487"/>
      <c r="F6" s="487"/>
      <c r="G6" s="487"/>
      <c r="H6" s="487"/>
      <c r="I6" s="487"/>
    </row>
    <row r="7" spans="1:9" ht="18.75" customHeight="1" x14ac:dyDescent="0.3">
      <c r="A7" s="487"/>
      <c r="B7" s="487"/>
      <c r="C7" s="487"/>
      <c r="D7" s="487"/>
      <c r="E7" s="487"/>
      <c r="F7" s="487"/>
      <c r="G7" s="487"/>
      <c r="H7" s="487"/>
      <c r="I7" s="487"/>
    </row>
    <row r="8" spans="1:9" x14ac:dyDescent="0.3">
      <c r="A8" s="488" t="s">
        <v>46</v>
      </c>
      <c r="B8" s="488"/>
      <c r="C8" s="488"/>
      <c r="D8" s="488"/>
      <c r="E8" s="488"/>
      <c r="F8" s="488"/>
      <c r="G8" s="488"/>
      <c r="H8" s="488"/>
      <c r="I8" s="488"/>
    </row>
    <row r="9" spans="1:9" x14ac:dyDescent="0.3">
      <c r="A9" s="488"/>
      <c r="B9" s="488"/>
      <c r="C9" s="488"/>
      <c r="D9" s="488"/>
      <c r="E9" s="488"/>
      <c r="F9" s="488"/>
      <c r="G9" s="488"/>
      <c r="H9" s="488"/>
      <c r="I9" s="488"/>
    </row>
    <row r="10" spans="1:9" x14ac:dyDescent="0.3">
      <c r="A10" s="488"/>
      <c r="B10" s="488"/>
      <c r="C10" s="488"/>
      <c r="D10" s="488"/>
      <c r="E10" s="488"/>
      <c r="F10" s="488"/>
      <c r="G10" s="488"/>
      <c r="H10" s="488"/>
      <c r="I10" s="488"/>
    </row>
    <row r="11" spans="1:9" x14ac:dyDescent="0.3">
      <c r="A11" s="488"/>
      <c r="B11" s="488"/>
      <c r="C11" s="488"/>
      <c r="D11" s="488"/>
      <c r="E11" s="488"/>
      <c r="F11" s="488"/>
      <c r="G11" s="488"/>
      <c r="H11" s="488"/>
      <c r="I11" s="488"/>
    </row>
    <row r="12" spans="1:9" x14ac:dyDescent="0.3">
      <c r="A12" s="488"/>
      <c r="B12" s="488"/>
      <c r="C12" s="488"/>
      <c r="D12" s="488"/>
      <c r="E12" s="488"/>
      <c r="F12" s="488"/>
      <c r="G12" s="488"/>
      <c r="H12" s="488"/>
      <c r="I12" s="488"/>
    </row>
    <row r="13" spans="1:9" x14ac:dyDescent="0.3">
      <c r="A13" s="488"/>
      <c r="B13" s="488"/>
      <c r="C13" s="488"/>
      <c r="D13" s="488"/>
      <c r="E13" s="488"/>
      <c r="F13" s="488"/>
      <c r="G13" s="488"/>
      <c r="H13" s="488"/>
      <c r="I13" s="488"/>
    </row>
    <row r="14" spans="1:9" x14ac:dyDescent="0.3">
      <c r="A14" s="488"/>
      <c r="B14" s="488"/>
      <c r="C14" s="488"/>
      <c r="D14" s="488"/>
      <c r="E14" s="488"/>
      <c r="F14" s="488"/>
      <c r="G14" s="488"/>
      <c r="H14" s="488"/>
      <c r="I14" s="488"/>
    </row>
    <row r="15" spans="1:9" ht="19.5" customHeight="1" x14ac:dyDescent="0.35">
      <c r="A15" s="286"/>
    </row>
    <row r="16" spans="1:9" ht="19.5" customHeight="1" x14ac:dyDescent="0.35">
      <c r="A16" s="521" t="s">
        <v>31</v>
      </c>
      <c r="B16" s="522"/>
      <c r="C16" s="522"/>
      <c r="D16" s="522"/>
      <c r="E16" s="522"/>
      <c r="F16" s="522"/>
      <c r="G16" s="522"/>
      <c r="H16" s="523"/>
    </row>
    <row r="17" spans="1:14" ht="20.25" customHeight="1" x14ac:dyDescent="0.3">
      <c r="A17" s="524" t="s">
        <v>47</v>
      </c>
      <c r="B17" s="524"/>
      <c r="C17" s="524"/>
      <c r="D17" s="524"/>
      <c r="E17" s="524"/>
      <c r="F17" s="524"/>
      <c r="G17" s="524"/>
      <c r="H17" s="524"/>
    </row>
    <row r="18" spans="1:14" ht="26.25" customHeight="1" x14ac:dyDescent="0.5">
      <c r="A18" s="288" t="s">
        <v>33</v>
      </c>
      <c r="B18" s="520" t="s">
        <v>5</v>
      </c>
      <c r="C18" s="520"/>
      <c r="D18" s="434"/>
      <c r="E18" s="289"/>
      <c r="F18" s="290"/>
      <c r="G18" s="290"/>
      <c r="H18" s="290"/>
    </row>
    <row r="19" spans="1:14" ht="26.25" customHeight="1" x14ac:dyDescent="0.5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5">
      <c r="A20" s="288" t="s">
        <v>35</v>
      </c>
      <c r="B20" s="525" t="s">
        <v>9</v>
      </c>
      <c r="C20" s="525"/>
      <c r="D20" s="290"/>
      <c r="E20" s="290"/>
      <c r="F20" s="290"/>
      <c r="G20" s="290"/>
      <c r="H20" s="290"/>
    </row>
    <row r="21" spans="1:14" ht="26.25" customHeight="1" x14ac:dyDescent="0.5">
      <c r="A21" s="288" t="s">
        <v>36</v>
      </c>
      <c r="B21" s="525" t="s">
        <v>11</v>
      </c>
      <c r="C21" s="525"/>
      <c r="D21" s="525"/>
      <c r="E21" s="525"/>
      <c r="F21" s="525"/>
      <c r="G21" s="525"/>
      <c r="H21" s="525"/>
      <c r="I21" s="292"/>
    </row>
    <row r="22" spans="1:14" ht="26.25" customHeight="1" x14ac:dyDescent="0.5">
      <c r="A22" s="288" t="s">
        <v>37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 x14ac:dyDescent="0.5">
      <c r="A23" s="288" t="s">
        <v>38</v>
      </c>
      <c r="B23" s="293">
        <v>43047</v>
      </c>
      <c r="C23" s="290"/>
      <c r="D23" s="290"/>
      <c r="E23" s="290"/>
      <c r="F23" s="290"/>
      <c r="G23" s="290"/>
      <c r="H23" s="290"/>
    </row>
    <row r="24" spans="1:14" ht="18" x14ac:dyDescent="0.35">
      <c r="A24" s="288"/>
      <c r="B24" s="294"/>
    </row>
    <row r="25" spans="1:14" ht="18" x14ac:dyDescent="0.35">
      <c r="A25" s="295" t="s">
        <v>1</v>
      </c>
      <c r="B25" s="294"/>
    </row>
    <row r="26" spans="1:14" ht="26.25" customHeight="1" x14ac:dyDescent="0.45">
      <c r="A26" s="296" t="s">
        <v>4</v>
      </c>
      <c r="B26" s="519" t="s">
        <v>134</v>
      </c>
      <c r="C26" s="520"/>
    </row>
    <row r="27" spans="1:14" ht="26.25" customHeight="1" x14ac:dyDescent="0.5">
      <c r="A27" s="297" t="s">
        <v>48</v>
      </c>
      <c r="B27" s="526" t="s">
        <v>138</v>
      </c>
      <c r="C27" s="527"/>
    </row>
    <row r="28" spans="1:14" ht="27" customHeight="1" x14ac:dyDescent="0.45">
      <c r="A28" s="297" t="s">
        <v>6</v>
      </c>
      <c r="B28" s="298">
        <v>99.7</v>
      </c>
    </row>
    <row r="29" spans="1:14" s="14" customFormat="1" ht="27" customHeight="1" x14ac:dyDescent="0.5">
      <c r="A29" s="297" t="s">
        <v>49</v>
      </c>
      <c r="B29" s="299">
        <v>0</v>
      </c>
      <c r="C29" s="495" t="s">
        <v>50</v>
      </c>
      <c r="D29" s="496"/>
      <c r="E29" s="496"/>
      <c r="F29" s="496"/>
      <c r="G29" s="497"/>
      <c r="I29" s="300"/>
      <c r="J29" s="300"/>
      <c r="K29" s="300"/>
      <c r="L29" s="300"/>
    </row>
    <row r="30" spans="1:14" s="14" customFormat="1" ht="19.5" customHeight="1" x14ac:dyDescent="0.35">
      <c r="A30" s="297" t="s">
        <v>51</v>
      </c>
      <c r="B30" s="301">
        <f>B28-B29</f>
        <v>99.7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5">
      <c r="A31" s="297" t="s">
        <v>52</v>
      </c>
      <c r="B31" s="304">
        <v>1</v>
      </c>
      <c r="C31" s="498" t="s">
        <v>53</v>
      </c>
      <c r="D31" s="499"/>
      <c r="E31" s="499"/>
      <c r="F31" s="499"/>
      <c r="G31" s="499"/>
      <c r="H31" s="500"/>
      <c r="I31" s="300"/>
      <c r="J31" s="300"/>
      <c r="K31" s="300"/>
      <c r="L31" s="300"/>
    </row>
    <row r="32" spans="1:14" s="14" customFormat="1" ht="27" customHeight="1" x14ac:dyDescent="0.45">
      <c r="A32" s="297" t="s">
        <v>54</v>
      </c>
      <c r="B32" s="304">
        <v>1</v>
      </c>
      <c r="C32" s="498" t="s">
        <v>55</v>
      </c>
      <c r="D32" s="499"/>
      <c r="E32" s="499"/>
      <c r="F32" s="499"/>
      <c r="G32" s="499"/>
      <c r="H32" s="500"/>
      <c r="I32" s="300"/>
      <c r="J32" s="300"/>
      <c r="K32" s="300"/>
      <c r="L32" s="305"/>
      <c r="M32" s="305"/>
      <c r="N32" s="306"/>
    </row>
    <row r="33" spans="1:14" s="14" customFormat="1" ht="17.25" customHeight="1" x14ac:dyDescent="0.35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" x14ac:dyDescent="0.35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5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5">
      <c r="A36" s="310" t="s">
        <v>58</v>
      </c>
      <c r="B36" s="311">
        <v>25</v>
      </c>
      <c r="C36" s="287"/>
      <c r="D36" s="501" t="s">
        <v>59</v>
      </c>
      <c r="E36" s="528"/>
      <c r="F36" s="501" t="s">
        <v>60</v>
      </c>
      <c r="G36" s="502"/>
      <c r="J36" s="300"/>
      <c r="K36" s="300"/>
      <c r="L36" s="305"/>
      <c r="M36" s="305"/>
      <c r="N36" s="306"/>
    </row>
    <row r="37" spans="1:14" s="14" customFormat="1" ht="27" customHeight="1" x14ac:dyDescent="0.45">
      <c r="A37" s="312" t="s">
        <v>61</v>
      </c>
      <c r="B37" s="313">
        <v>4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5">
      <c r="A38" s="312" t="s">
        <v>66</v>
      </c>
      <c r="B38" s="313">
        <v>100</v>
      </c>
      <c r="C38" s="319">
        <v>1</v>
      </c>
      <c r="D38" s="320">
        <v>3112026</v>
      </c>
      <c r="E38" s="321">
        <f>IF(ISBLANK(D38),"-",$D$48/$D$45*D38)</f>
        <v>2921282.3308484182</v>
      </c>
      <c r="F38" s="320">
        <v>2970566</v>
      </c>
      <c r="G38" s="322">
        <f>IF(ISBLANK(F38),"-",$D$48/$F$45*F38)</f>
        <v>2961734.1088872976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5">
      <c r="A39" s="312" t="s">
        <v>67</v>
      </c>
      <c r="B39" s="313">
        <v>1</v>
      </c>
      <c r="C39" s="324">
        <v>2</v>
      </c>
      <c r="D39" s="325">
        <v>3120824</v>
      </c>
      <c r="E39" s="326">
        <f>IF(ISBLANK(D39),"-",$D$48/$D$45*D39)</f>
        <v>2929541.0799548859</v>
      </c>
      <c r="F39" s="325">
        <v>2980874</v>
      </c>
      <c r="G39" s="327">
        <f>IF(ISBLANK(F39),"-",$D$48/$F$45*F39)</f>
        <v>2972011.4618208497</v>
      </c>
      <c r="I39" s="503">
        <f>ABS((F43/D43*D42)-F42)/D42</f>
        <v>1.2971009498455956E-2</v>
      </c>
      <c r="J39" s="300"/>
      <c r="K39" s="300"/>
      <c r="L39" s="305"/>
      <c r="M39" s="305"/>
      <c r="N39" s="306"/>
    </row>
    <row r="40" spans="1:14" ht="26.25" customHeight="1" x14ac:dyDescent="0.45">
      <c r="A40" s="312" t="s">
        <v>68</v>
      </c>
      <c r="B40" s="313">
        <v>1</v>
      </c>
      <c r="C40" s="324">
        <v>3</v>
      </c>
      <c r="D40" s="325">
        <v>3117400</v>
      </c>
      <c r="E40" s="326">
        <f>IF(ISBLANK(D40),"-",$D$48/$D$45*D40)</f>
        <v>2926326.9452719414</v>
      </c>
      <c r="F40" s="325">
        <v>2973166</v>
      </c>
      <c r="G40" s="327">
        <f>IF(ISBLANK(F40),"-",$D$48/$F$45*F40)</f>
        <v>2964326.3787386012</v>
      </c>
      <c r="I40" s="503"/>
      <c r="L40" s="305"/>
      <c r="M40" s="305"/>
      <c r="N40" s="328"/>
    </row>
    <row r="41" spans="1:14" ht="27" customHeight="1" x14ac:dyDescent="0.45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5">
      <c r="A42" s="312" t="s">
        <v>70</v>
      </c>
      <c r="B42" s="313">
        <v>1</v>
      </c>
      <c r="C42" s="334" t="s">
        <v>71</v>
      </c>
      <c r="D42" s="335">
        <f>AVERAGE(D38:D41)</f>
        <v>3116750</v>
      </c>
      <c r="E42" s="336">
        <f>AVERAGE(E38:E41)</f>
        <v>2925716.7853584155</v>
      </c>
      <c r="F42" s="335">
        <f>AVERAGE(F38:F41)</f>
        <v>2974868.6666666665</v>
      </c>
      <c r="G42" s="337">
        <f>AVERAGE(G38:G41)</f>
        <v>2966023.9831489162</v>
      </c>
      <c r="H42" s="338"/>
    </row>
    <row r="43" spans="1:14" ht="26.25" customHeight="1" x14ac:dyDescent="0.45">
      <c r="A43" s="312" t="s">
        <v>72</v>
      </c>
      <c r="B43" s="313">
        <v>1</v>
      </c>
      <c r="C43" s="339" t="s">
        <v>73</v>
      </c>
      <c r="D43" s="340">
        <v>21.37</v>
      </c>
      <c r="E43" s="328"/>
      <c r="F43" s="340">
        <v>20.12</v>
      </c>
      <c r="H43" s="338"/>
    </row>
    <row r="44" spans="1:14" ht="26.25" customHeight="1" x14ac:dyDescent="0.45">
      <c r="A44" s="312" t="s">
        <v>74</v>
      </c>
      <c r="B44" s="313">
        <v>1</v>
      </c>
      <c r="C44" s="341" t="s">
        <v>75</v>
      </c>
      <c r="D44" s="342">
        <f>D43*$B$34</f>
        <v>21.37</v>
      </c>
      <c r="E44" s="343"/>
      <c r="F44" s="342">
        <f>F43*$B$34</f>
        <v>20.12</v>
      </c>
      <c r="H44" s="338"/>
    </row>
    <row r="45" spans="1:14" ht="19.5" customHeight="1" x14ac:dyDescent="0.35">
      <c r="A45" s="312" t="s">
        <v>76</v>
      </c>
      <c r="B45" s="344">
        <f>(B44/B43)*(B42/B41)*(B40/B39)*(B38/B37)*B36</f>
        <v>625</v>
      </c>
      <c r="C45" s="341" t="s">
        <v>77</v>
      </c>
      <c r="D45" s="345">
        <f>D44*$B$30/100</f>
        <v>21.305889999999998</v>
      </c>
      <c r="E45" s="346"/>
      <c r="F45" s="345">
        <f>F44*$B$30/100</f>
        <v>20.059640000000002</v>
      </c>
      <c r="H45" s="338"/>
    </row>
    <row r="46" spans="1:14" ht="19.5" customHeight="1" x14ac:dyDescent="0.35">
      <c r="A46" s="489" t="s">
        <v>78</v>
      </c>
      <c r="B46" s="490"/>
      <c r="C46" s="341" t="s">
        <v>79</v>
      </c>
      <c r="D46" s="347">
        <f>D45/$B$45</f>
        <v>3.4089424E-2</v>
      </c>
      <c r="E46" s="348"/>
      <c r="F46" s="349">
        <f>F45/$B$45</f>
        <v>3.2095424000000004E-2</v>
      </c>
      <c r="H46" s="338"/>
    </row>
    <row r="47" spans="1:14" ht="27" customHeight="1" x14ac:dyDescent="0.45">
      <c r="A47" s="491"/>
      <c r="B47" s="492"/>
      <c r="C47" s="350" t="s">
        <v>80</v>
      </c>
      <c r="D47" s="351">
        <v>3.2000000000000001E-2</v>
      </c>
      <c r="E47" s="352"/>
      <c r="F47" s="348"/>
      <c r="H47" s="338"/>
    </row>
    <row r="48" spans="1:14" ht="18" x14ac:dyDescent="0.35">
      <c r="C48" s="353" t="s">
        <v>81</v>
      </c>
      <c r="D48" s="345">
        <f>D47*$B$45</f>
        <v>20</v>
      </c>
      <c r="F48" s="354"/>
      <c r="H48" s="338"/>
    </row>
    <row r="49" spans="1:12" ht="19.5" customHeight="1" x14ac:dyDescent="0.35">
      <c r="C49" s="355" t="s">
        <v>82</v>
      </c>
      <c r="D49" s="356">
        <f>D48/B34</f>
        <v>20</v>
      </c>
      <c r="F49" s="354"/>
      <c r="H49" s="338"/>
    </row>
    <row r="50" spans="1:12" ht="18" x14ac:dyDescent="0.35">
      <c r="C50" s="310" t="s">
        <v>83</v>
      </c>
      <c r="D50" s="357">
        <f>AVERAGE(E38:E41,G38:G41)</f>
        <v>2945870.3842536658</v>
      </c>
      <c r="F50" s="358"/>
      <c r="H50" s="338"/>
    </row>
    <row r="51" spans="1:12" ht="18" x14ac:dyDescent="0.35">
      <c r="C51" s="312" t="s">
        <v>84</v>
      </c>
      <c r="D51" s="359">
        <f>STDEV(E38:E41,G38:G41)/D50</f>
        <v>7.6341163613808903E-3</v>
      </c>
      <c r="F51" s="358"/>
      <c r="H51" s="338"/>
    </row>
    <row r="52" spans="1:12" ht="19.5" customHeight="1" x14ac:dyDescent="0.35">
      <c r="C52" s="360" t="s">
        <v>20</v>
      </c>
      <c r="D52" s="361">
        <f>COUNT(E38:E41,G38:G41)</f>
        <v>6</v>
      </c>
      <c r="F52" s="358"/>
    </row>
    <row r="54" spans="1:12" ht="18" x14ac:dyDescent="0.35">
      <c r="A54" s="362" t="s">
        <v>1</v>
      </c>
      <c r="B54" s="363" t="s">
        <v>85</v>
      </c>
    </row>
    <row r="55" spans="1:12" ht="18" x14ac:dyDescent="0.35">
      <c r="A55" s="287" t="s">
        <v>86</v>
      </c>
      <c r="B55" s="364" t="str">
        <f>B21</f>
        <v xml:space="preserve">Each tablet contains: Sulphamethoxazole BP 800 mg and Trimethoprim 
BP 160 mg.
</v>
      </c>
    </row>
    <row r="56" spans="1:12" ht="26.25" customHeight="1" x14ac:dyDescent="0.45">
      <c r="A56" s="365" t="s">
        <v>87</v>
      </c>
      <c r="B56" s="366">
        <v>160</v>
      </c>
      <c r="C56" s="287" t="str">
        <f>B20</f>
        <v>Sulfamethoxazole &amp; Trimethoprim</v>
      </c>
      <c r="H56" s="367"/>
    </row>
    <row r="57" spans="1:12" ht="18" x14ac:dyDescent="0.35">
      <c r="A57" s="364" t="s">
        <v>88</v>
      </c>
      <c r="B57" s="435">
        <f>Uniformity!C46</f>
        <v>1042.4000000000001</v>
      </c>
      <c r="H57" s="367"/>
    </row>
    <row r="58" spans="1:12" ht="19.5" customHeight="1" x14ac:dyDescent="0.35">
      <c r="H58" s="367"/>
    </row>
    <row r="59" spans="1:12" s="14" customFormat="1" ht="27" customHeight="1" x14ac:dyDescent="0.45">
      <c r="A59" s="310" t="s">
        <v>89</v>
      </c>
      <c r="B59" s="311">
        <v>100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5">
      <c r="A60" s="312" t="s">
        <v>93</v>
      </c>
      <c r="B60" s="313">
        <v>2</v>
      </c>
      <c r="C60" s="506" t="s">
        <v>94</v>
      </c>
      <c r="D60" s="509">
        <v>1043.27</v>
      </c>
      <c r="E60" s="370">
        <v>1</v>
      </c>
      <c r="F60" s="371">
        <v>2805911</v>
      </c>
      <c r="G60" s="436">
        <f>IF(ISBLANK(F60),"-",(F60/$D$50*$D$47*$B$68)*($B$57/$D$60))</f>
        <v>152.27125373528227</v>
      </c>
      <c r="H60" s="454">
        <f t="shared" ref="H60:H71" si="0">IF(ISBLANK(F60),"-",(G60/$B$56)*100)</f>
        <v>95.169533584551431</v>
      </c>
      <c r="L60" s="300"/>
    </row>
    <row r="61" spans="1:12" s="14" customFormat="1" ht="26.25" customHeight="1" x14ac:dyDescent="0.45">
      <c r="A61" s="312" t="s">
        <v>95</v>
      </c>
      <c r="B61" s="313">
        <v>100</v>
      </c>
      <c r="C61" s="507"/>
      <c r="D61" s="510"/>
      <c r="E61" s="372">
        <v>2</v>
      </c>
      <c r="F61" s="325">
        <v>2802283</v>
      </c>
      <c r="G61" s="437">
        <f>IF(ISBLANK(F61),"-",(F61/$D$50*$D$47*$B$68)*($B$57/$D$60))</f>
        <v>152.07436933354907</v>
      </c>
      <c r="H61" s="455">
        <f t="shared" si="0"/>
        <v>95.046480833468166</v>
      </c>
      <c r="L61" s="300"/>
    </row>
    <row r="62" spans="1:12" s="14" customFormat="1" ht="26.25" customHeight="1" x14ac:dyDescent="0.45">
      <c r="A62" s="312" t="s">
        <v>96</v>
      </c>
      <c r="B62" s="313">
        <v>1</v>
      </c>
      <c r="C62" s="507"/>
      <c r="D62" s="510"/>
      <c r="E62" s="372">
        <v>3</v>
      </c>
      <c r="F62" s="373">
        <v>2793312</v>
      </c>
      <c r="G62" s="437">
        <f>IF(ISBLANK(F62),"-",(F62/$D$50*$D$47*$B$68)*($B$57/$D$60))</f>
        <v>151.58753086388302</v>
      </c>
      <c r="H62" s="455">
        <f t="shared" si="0"/>
        <v>94.742206789926882</v>
      </c>
      <c r="L62" s="300"/>
    </row>
    <row r="63" spans="1:12" ht="27" customHeight="1" x14ac:dyDescent="0.45">
      <c r="A63" s="312" t="s">
        <v>97</v>
      </c>
      <c r="B63" s="313">
        <v>1</v>
      </c>
      <c r="C63" s="516"/>
      <c r="D63" s="511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5">
      <c r="A64" s="312" t="s">
        <v>98</v>
      </c>
      <c r="B64" s="313">
        <v>1</v>
      </c>
      <c r="C64" s="506" t="s">
        <v>99</v>
      </c>
      <c r="D64" s="509">
        <v>1047.92</v>
      </c>
      <c r="E64" s="370">
        <v>1</v>
      </c>
      <c r="F64" s="371">
        <v>2925156</v>
      </c>
      <c r="G64" s="436">
        <f>IF(ISBLANK(F64),"-",(F64/$D$50*$D$47*$B$68)*($B$57/$D$64))</f>
        <v>158.03804697471563</v>
      </c>
      <c r="H64" s="454">
        <f t="shared" si="0"/>
        <v>98.773779359197263</v>
      </c>
    </row>
    <row r="65" spans="1:8" ht="26.25" customHeight="1" x14ac:dyDescent="0.45">
      <c r="A65" s="312" t="s">
        <v>100</v>
      </c>
      <c r="B65" s="313">
        <v>1</v>
      </c>
      <c r="C65" s="507"/>
      <c r="D65" s="510"/>
      <c r="E65" s="372">
        <v>2</v>
      </c>
      <c r="F65" s="325">
        <v>2933599</v>
      </c>
      <c r="G65" s="437">
        <f>IF(ISBLANK(F65),"-",(F65/$D$50*$D$47*$B$68)*($B$57/$D$64))</f>
        <v>158.49419879383487</v>
      </c>
      <c r="H65" s="455">
        <f t="shared" si="0"/>
        <v>99.058874246146786</v>
      </c>
    </row>
    <row r="66" spans="1:8" ht="26.25" customHeight="1" x14ac:dyDescent="0.45">
      <c r="A66" s="312" t="s">
        <v>101</v>
      </c>
      <c r="B66" s="313">
        <v>1</v>
      </c>
      <c r="C66" s="507"/>
      <c r="D66" s="510"/>
      <c r="E66" s="372">
        <v>3</v>
      </c>
      <c r="F66" s="325">
        <v>2921401</v>
      </c>
      <c r="G66" s="437">
        <f>IF(ISBLANK(F66),"-",(F66/$D$50*$D$47*$B$68)*($B$57/$D$64))</f>
        <v>157.83517476332247</v>
      </c>
      <c r="H66" s="455">
        <f t="shared" si="0"/>
        <v>98.646984227076544</v>
      </c>
    </row>
    <row r="67" spans="1:8" ht="27" customHeight="1" x14ac:dyDescent="0.45">
      <c r="A67" s="312" t="s">
        <v>102</v>
      </c>
      <c r="B67" s="313">
        <v>1</v>
      </c>
      <c r="C67" s="516"/>
      <c r="D67" s="511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5">
      <c r="A68" s="312" t="s">
        <v>103</v>
      </c>
      <c r="B68" s="376">
        <f>(B67/B66)*(B65/B64)*(B63/B62)*(B61/B60)*B59</f>
        <v>5000</v>
      </c>
      <c r="C68" s="506" t="s">
        <v>104</v>
      </c>
      <c r="D68" s="509">
        <v>1039.76</v>
      </c>
      <c r="E68" s="370">
        <v>1</v>
      </c>
      <c r="F68" s="371">
        <v>2883983</v>
      </c>
      <c r="G68" s="436">
        <f>IF(ISBLANK(F68),"-",(F68/$D$50*$D$47*$B$68)*($B$57/$D$68))</f>
        <v>157.03640378485289</v>
      </c>
      <c r="H68" s="455">
        <f t="shared" si="0"/>
        <v>98.147752365533051</v>
      </c>
    </row>
    <row r="69" spans="1:8" ht="27" customHeight="1" x14ac:dyDescent="0.5">
      <c r="A69" s="360" t="s">
        <v>105</v>
      </c>
      <c r="B69" s="377">
        <f>(D47*B68)/B56*B57</f>
        <v>1042.4000000000001</v>
      </c>
      <c r="C69" s="507"/>
      <c r="D69" s="510"/>
      <c r="E69" s="372">
        <v>2</v>
      </c>
      <c r="F69" s="325">
        <v>2876749</v>
      </c>
      <c r="G69" s="437">
        <f>IF(ISBLANK(F69),"-",(F69/$D$50*$D$47*$B$68)*($B$57/$D$68))</f>
        <v>156.64250363184243</v>
      </c>
      <c r="H69" s="455">
        <f t="shared" si="0"/>
        <v>97.901564769901512</v>
      </c>
    </row>
    <row r="70" spans="1:8" ht="26.25" customHeight="1" x14ac:dyDescent="0.45">
      <c r="A70" s="512" t="s">
        <v>78</v>
      </c>
      <c r="B70" s="513"/>
      <c r="C70" s="507"/>
      <c r="D70" s="510"/>
      <c r="E70" s="372">
        <v>3</v>
      </c>
      <c r="F70" s="325">
        <v>2870064</v>
      </c>
      <c r="G70" s="437">
        <f>IF(ISBLANK(F70),"-",(F70/$D$50*$D$47*$B$68)*($B$57/$D$68))</f>
        <v>156.27849720070128</v>
      </c>
      <c r="H70" s="455">
        <f t="shared" si="0"/>
        <v>97.674060750438301</v>
      </c>
    </row>
    <row r="71" spans="1:8" ht="27" customHeight="1" x14ac:dyDescent="0.45">
      <c r="A71" s="514"/>
      <c r="B71" s="515"/>
      <c r="C71" s="508"/>
      <c r="D71" s="511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5">
      <c r="A72" s="378"/>
      <c r="B72" s="378"/>
      <c r="C72" s="378"/>
      <c r="D72" s="378"/>
      <c r="E72" s="378"/>
      <c r="F72" s="380" t="s">
        <v>71</v>
      </c>
      <c r="G72" s="442">
        <f>AVERAGE(G60:G71)</f>
        <v>155.58421989799822</v>
      </c>
      <c r="H72" s="457">
        <f>AVERAGE(H60:H71)</f>
        <v>97.240137436248887</v>
      </c>
    </row>
    <row r="73" spans="1:8" ht="26.25" customHeight="1" x14ac:dyDescent="0.45">
      <c r="C73" s="378"/>
      <c r="D73" s="378"/>
      <c r="E73" s="378"/>
      <c r="F73" s="381" t="s">
        <v>84</v>
      </c>
      <c r="G73" s="441">
        <f>STDEV(G60:G71)/G72</f>
        <v>1.797014902225353E-2</v>
      </c>
      <c r="H73" s="441">
        <f>STDEV(H60:H71)/H72</f>
        <v>1.7970149022253502E-2</v>
      </c>
    </row>
    <row r="74" spans="1:8" ht="27" customHeight="1" x14ac:dyDescent="0.45">
      <c r="A74" s="378"/>
      <c r="B74" s="378"/>
      <c r="C74" s="379"/>
      <c r="D74" s="379"/>
      <c r="E74" s="382"/>
      <c r="F74" s="383" t="s">
        <v>20</v>
      </c>
      <c r="G74" s="384">
        <f>COUNT(G60:G71)</f>
        <v>9</v>
      </c>
      <c r="H74" s="384">
        <f>COUNT(H60:H71)</f>
        <v>9</v>
      </c>
    </row>
    <row r="76" spans="1:8" ht="26.25" customHeight="1" x14ac:dyDescent="0.45">
      <c r="A76" s="296" t="s">
        <v>106</v>
      </c>
      <c r="B76" s="385" t="s">
        <v>107</v>
      </c>
      <c r="C76" s="493" t="str">
        <f>B26</f>
        <v>TRIMETHOPRIM</v>
      </c>
      <c r="D76" s="493"/>
      <c r="E76" s="386" t="s">
        <v>108</v>
      </c>
      <c r="F76" s="386"/>
      <c r="G76" s="473">
        <f>H72</f>
        <v>97.240137436248887</v>
      </c>
      <c r="H76" s="388"/>
    </row>
    <row r="77" spans="1:8" ht="18" x14ac:dyDescent="0.35">
      <c r="A77" s="295" t="s">
        <v>109</v>
      </c>
      <c r="B77" s="295" t="s">
        <v>110</v>
      </c>
    </row>
    <row r="78" spans="1:8" ht="18" x14ac:dyDescent="0.35">
      <c r="A78" s="295"/>
      <c r="B78" s="295"/>
    </row>
    <row r="79" spans="1:8" ht="26.25" customHeight="1" x14ac:dyDescent="0.45">
      <c r="A79" s="296" t="s">
        <v>4</v>
      </c>
      <c r="B79" s="529" t="str">
        <f>B26</f>
        <v>TRIMETHOPRIM</v>
      </c>
      <c r="C79" s="529"/>
    </row>
    <row r="80" spans="1:8" ht="26.25" customHeight="1" x14ac:dyDescent="0.45">
      <c r="A80" s="297" t="s">
        <v>48</v>
      </c>
      <c r="B80" s="529" t="str">
        <f>B27</f>
        <v>T7-5</v>
      </c>
      <c r="C80" s="529"/>
    </row>
    <row r="81" spans="1:12" ht="27" customHeight="1" x14ac:dyDescent="0.45">
      <c r="A81" s="297" t="s">
        <v>6</v>
      </c>
      <c r="B81" s="389">
        <f>B28</f>
        <v>99.7</v>
      </c>
    </row>
    <row r="82" spans="1:12" s="14" customFormat="1" ht="27" customHeight="1" x14ac:dyDescent="0.5">
      <c r="A82" s="297" t="s">
        <v>49</v>
      </c>
      <c r="B82" s="299">
        <v>0</v>
      </c>
      <c r="C82" s="495" t="s">
        <v>50</v>
      </c>
      <c r="D82" s="496"/>
      <c r="E82" s="496"/>
      <c r="F82" s="496"/>
      <c r="G82" s="497"/>
      <c r="I82" s="300"/>
      <c r="J82" s="300"/>
      <c r="K82" s="300"/>
      <c r="L82" s="300"/>
    </row>
    <row r="83" spans="1:12" s="14" customFormat="1" ht="19.5" customHeight="1" x14ac:dyDescent="0.35">
      <c r="A83" s="297" t="s">
        <v>51</v>
      </c>
      <c r="B83" s="301">
        <f>B81-B82</f>
        <v>99.7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5">
      <c r="A84" s="297" t="s">
        <v>52</v>
      </c>
      <c r="B84" s="304">
        <v>1</v>
      </c>
      <c r="C84" s="498" t="s">
        <v>111</v>
      </c>
      <c r="D84" s="499"/>
      <c r="E84" s="499"/>
      <c r="F84" s="499"/>
      <c r="G84" s="499"/>
      <c r="H84" s="500"/>
      <c r="I84" s="300"/>
      <c r="J84" s="300"/>
      <c r="K84" s="300"/>
      <c r="L84" s="300"/>
    </row>
    <row r="85" spans="1:12" s="14" customFormat="1" ht="27" customHeight="1" x14ac:dyDescent="0.45">
      <c r="A85" s="297" t="s">
        <v>54</v>
      </c>
      <c r="B85" s="304">
        <v>1</v>
      </c>
      <c r="C85" s="498" t="s">
        <v>112</v>
      </c>
      <c r="D85" s="499"/>
      <c r="E85" s="499"/>
      <c r="F85" s="499"/>
      <c r="G85" s="499"/>
      <c r="H85" s="500"/>
      <c r="I85" s="300"/>
      <c r="J85" s="300"/>
      <c r="K85" s="300"/>
      <c r="L85" s="300"/>
    </row>
    <row r="86" spans="1:12" s="14" customFormat="1" ht="18" x14ac:dyDescent="0.35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" x14ac:dyDescent="0.35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5">
      <c r="A88" s="295"/>
      <c r="B88" s="295"/>
    </row>
    <row r="89" spans="1:12" ht="27" customHeight="1" x14ac:dyDescent="0.45">
      <c r="A89" s="310" t="s">
        <v>58</v>
      </c>
      <c r="B89" s="311">
        <v>25</v>
      </c>
      <c r="D89" s="390" t="s">
        <v>59</v>
      </c>
      <c r="E89" s="391"/>
      <c r="F89" s="501" t="s">
        <v>60</v>
      </c>
      <c r="G89" s="502"/>
    </row>
    <row r="90" spans="1:12" ht="27" customHeight="1" x14ac:dyDescent="0.45">
      <c r="A90" s="312" t="s">
        <v>61</v>
      </c>
      <c r="B90" s="313">
        <v>4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5">
      <c r="A91" s="312" t="s">
        <v>66</v>
      </c>
      <c r="B91" s="313">
        <v>100</v>
      </c>
      <c r="C91" s="394">
        <v>1</v>
      </c>
      <c r="D91" s="320">
        <v>3112026</v>
      </c>
      <c r="E91" s="321">
        <f>IF(ISBLANK(D91),"-",$D$101/$D$98*D91)</f>
        <v>3245869.2564982423</v>
      </c>
      <c r="F91" s="320">
        <v>2970566</v>
      </c>
      <c r="G91" s="322">
        <f>IF(ISBLANK(F91),"-",$D$101/$F$98*F91)</f>
        <v>3290815.6765414421</v>
      </c>
      <c r="I91" s="323"/>
    </row>
    <row r="92" spans="1:12" ht="26.25" customHeight="1" x14ac:dyDescent="0.45">
      <c r="A92" s="312" t="s">
        <v>67</v>
      </c>
      <c r="B92" s="313">
        <v>1</v>
      </c>
      <c r="C92" s="379">
        <v>2</v>
      </c>
      <c r="D92" s="325">
        <v>3120824</v>
      </c>
      <c r="E92" s="326">
        <f>IF(ISBLANK(D92),"-",$D$101/$D$98*D92)</f>
        <v>3255045.6443943176</v>
      </c>
      <c r="F92" s="325">
        <v>2980874</v>
      </c>
      <c r="G92" s="327">
        <f>IF(ISBLANK(F92),"-",$D$101/$F$98*F92)</f>
        <v>3302234.9575787224</v>
      </c>
      <c r="I92" s="503">
        <f>ABS((F96/D96*D95)-F95)/D95</f>
        <v>1.2971009498455956E-2</v>
      </c>
    </row>
    <row r="93" spans="1:12" ht="26.25" customHeight="1" x14ac:dyDescent="0.45">
      <c r="A93" s="312" t="s">
        <v>68</v>
      </c>
      <c r="B93" s="313">
        <v>1</v>
      </c>
      <c r="C93" s="379">
        <v>3</v>
      </c>
      <c r="D93" s="325">
        <v>3117400</v>
      </c>
      <c r="E93" s="326">
        <f>IF(ISBLANK(D93),"-",$D$101/$D$98*D93)</f>
        <v>3251474.3836354907</v>
      </c>
      <c r="F93" s="325">
        <v>2973166</v>
      </c>
      <c r="G93" s="327">
        <f>IF(ISBLANK(F93),"-",$D$101/$F$98*F93)</f>
        <v>3293695.9763762238</v>
      </c>
      <c r="I93" s="503"/>
    </row>
    <row r="94" spans="1:12" ht="27" customHeight="1" x14ac:dyDescent="0.45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5">
      <c r="A95" s="312" t="s">
        <v>70</v>
      </c>
      <c r="B95" s="313">
        <v>1</v>
      </c>
      <c r="C95" s="397" t="s">
        <v>71</v>
      </c>
      <c r="D95" s="398">
        <f>AVERAGE(D91:D94)</f>
        <v>3116750</v>
      </c>
      <c r="E95" s="336">
        <f>AVERAGE(E91:E94)</f>
        <v>3250796.428176017</v>
      </c>
      <c r="F95" s="399">
        <f>AVERAGE(F91:F94)</f>
        <v>2974868.6666666665</v>
      </c>
      <c r="G95" s="400">
        <f>AVERAGE(G91:G94)</f>
        <v>3295582.2034987961</v>
      </c>
    </row>
    <row r="96" spans="1:12" ht="26.25" customHeight="1" x14ac:dyDescent="0.45">
      <c r="A96" s="312" t="s">
        <v>72</v>
      </c>
      <c r="B96" s="298">
        <v>1</v>
      </c>
      <c r="C96" s="401" t="s">
        <v>113</v>
      </c>
      <c r="D96" s="402">
        <v>21.37</v>
      </c>
      <c r="E96" s="328"/>
      <c r="F96" s="340">
        <v>20.12</v>
      </c>
    </row>
    <row r="97" spans="1:10" ht="26.25" customHeight="1" x14ac:dyDescent="0.45">
      <c r="A97" s="312" t="s">
        <v>74</v>
      </c>
      <c r="B97" s="298">
        <v>1</v>
      </c>
      <c r="C97" s="403" t="s">
        <v>114</v>
      </c>
      <c r="D97" s="404">
        <f>D96*$B$87</f>
        <v>21.37</v>
      </c>
      <c r="E97" s="343"/>
      <c r="F97" s="342">
        <f>F96*$B$87</f>
        <v>20.12</v>
      </c>
    </row>
    <row r="98" spans="1:10" ht="19.5" customHeight="1" x14ac:dyDescent="0.35">
      <c r="A98" s="312" t="s">
        <v>76</v>
      </c>
      <c r="B98" s="405">
        <f>(B97/B96)*(B95/B94)*(B93/B92)*(B91/B90)*B89</f>
        <v>625</v>
      </c>
      <c r="C98" s="403" t="s">
        <v>115</v>
      </c>
      <c r="D98" s="406">
        <f>D97*$B$83/100</f>
        <v>21.305889999999998</v>
      </c>
      <c r="E98" s="346"/>
      <c r="F98" s="345">
        <f>F97*$B$83/100</f>
        <v>20.059640000000002</v>
      </c>
    </row>
    <row r="99" spans="1:10" ht="19.5" customHeight="1" x14ac:dyDescent="0.35">
      <c r="A99" s="489" t="s">
        <v>78</v>
      </c>
      <c r="B99" s="504"/>
      <c r="C99" s="403" t="s">
        <v>116</v>
      </c>
      <c r="D99" s="407">
        <f>D98/$B$98</f>
        <v>3.4089424E-2</v>
      </c>
      <c r="E99" s="346"/>
      <c r="F99" s="349">
        <f>F98/$B$98</f>
        <v>3.2095424000000004E-2</v>
      </c>
      <c r="G99" s="408"/>
      <c r="H99" s="338"/>
    </row>
    <row r="100" spans="1:10" ht="19.5" customHeight="1" x14ac:dyDescent="0.35">
      <c r="A100" s="491"/>
      <c r="B100" s="505"/>
      <c r="C100" s="403" t="s">
        <v>80</v>
      </c>
      <c r="D100" s="409">
        <f>$B$56/$B$116</f>
        <v>3.5555555555555556E-2</v>
      </c>
      <c r="F100" s="354"/>
      <c r="G100" s="410"/>
      <c r="H100" s="338"/>
    </row>
    <row r="101" spans="1:10" ht="18" x14ac:dyDescent="0.35">
      <c r="C101" s="403" t="s">
        <v>81</v>
      </c>
      <c r="D101" s="404">
        <f>D100*$B$98</f>
        <v>22.222222222222221</v>
      </c>
      <c r="F101" s="354"/>
      <c r="G101" s="408"/>
      <c r="H101" s="338"/>
    </row>
    <row r="102" spans="1:10" ht="19.5" customHeight="1" x14ac:dyDescent="0.35">
      <c r="C102" s="411" t="s">
        <v>82</v>
      </c>
      <c r="D102" s="412">
        <f>D101/B34</f>
        <v>22.222222222222221</v>
      </c>
      <c r="F102" s="358"/>
      <c r="G102" s="408"/>
      <c r="H102" s="338"/>
      <c r="J102" s="413"/>
    </row>
    <row r="103" spans="1:10" ht="18" x14ac:dyDescent="0.35">
      <c r="C103" s="414" t="s">
        <v>117</v>
      </c>
      <c r="D103" s="415">
        <f>AVERAGE(E91:E94,G91:G94)</f>
        <v>3273189.3158374061</v>
      </c>
      <c r="F103" s="358"/>
      <c r="G103" s="416"/>
      <c r="H103" s="338"/>
      <c r="J103" s="417"/>
    </row>
    <row r="104" spans="1:10" ht="18" x14ac:dyDescent="0.35">
      <c r="C104" s="381" t="s">
        <v>84</v>
      </c>
      <c r="D104" s="418">
        <f>STDEV(E91:E94,G91:G94)/D103</f>
        <v>7.6341163613809519E-3</v>
      </c>
      <c r="F104" s="358"/>
      <c r="G104" s="408"/>
      <c r="H104" s="338"/>
      <c r="J104" s="417"/>
    </row>
    <row r="105" spans="1:10" ht="19.5" customHeight="1" x14ac:dyDescent="0.35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5">
      <c r="A106" s="362"/>
      <c r="B106" s="362"/>
      <c r="C106" s="362"/>
      <c r="D106" s="362"/>
      <c r="E106" s="362"/>
    </row>
    <row r="107" spans="1:10" ht="27" customHeight="1" x14ac:dyDescent="0.45">
      <c r="A107" s="310" t="s">
        <v>118</v>
      </c>
      <c r="B107" s="311">
        <v>900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5">
      <c r="A108" s="312" t="s">
        <v>122</v>
      </c>
      <c r="B108" s="313">
        <v>10</v>
      </c>
      <c r="C108" s="463">
        <v>1</v>
      </c>
      <c r="D108" s="464">
        <v>3147842</v>
      </c>
      <c r="E108" s="438">
        <f t="shared" ref="E108:E113" si="1">IF(ISBLANK(D108),"-",D108/$D$103*$D$100*$B$116)</f>
        <v>153.87277404427982</v>
      </c>
      <c r="F108" s="465">
        <f t="shared" ref="F108:F113" si="2">IF(ISBLANK(D108), "-", (E108/$B$56)*100)</f>
        <v>96.170483777674889</v>
      </c>
    </row>
    <row r="109" spans="1:10" ht="26.25" customHeight="1" x14ac:dyDescent="0.45">
      <c r="A109" s="312" t="s">
        <v>95</v>
      </c>
      <c r="B109" s="313">
        <v>50</v>
      </c>
      <c r="C109" s="459">
        <v>2</v>
      </c>
      <c r="D109" s="461">
        <v>3189524</v>
      </c>
      <c r="E109" s="439">
        <f t="shared" si="1"/>
        <v>155.91027305716344</v>
      </c>
      <c r="F109" s="466">
        <f t="shared" si="2"/>
        <v>97.443920660727144</v>
      </c>
    </row>
    <row r="110" spans="1:10" ht="26.25" customHeight="1" x14ac:dyDescent="0.45">
      <c r="A110" s="312" t="s">
        <v>96</v>
      </c>
      <c r="B110" s="313">
        <v>1</v>
      </c>
      <c r="C110" s="459">
        <v>3</v>
      </c>
      <c r="D110" s="461">
        <v>3213084</v>
      </c>
      <c r="E110" s="439">
        <f t="shared" si="1"/>
        <v>157.06193268826411</v>
      </c>
      <c r="F110" s="466">
        <f t="shared" si="2"/>
        <v>98.16370793016506</v>
      </c>
    </row>
    <row r="111" spans="1:10" ht="26.25" customHeight="1" x14ac:dyDescent="0.45">
      <c r="A111" s="312" t="s">
        <v>97</v>
      </c>
      <c r="B111" s="313">
        <v>1</v>
      </c>
      <c r="C111" s="459">
        <v>4</v>
      </c>
      <c r="D111" s="461">
        <v>3167809</v>
      </c>
      <c r="E111" s="439">
        <f t="shared" si="1"/>
        <v>154.84880069343885</v>
      </c>
      <c r="F111" s="466">
        <f t="shared" si="2"/>
        <v>96.780500433399268</v>
      </c>
    </row>
    <row r="112" spans="1:10" ht="26.25" customHeight="1" x14ac:dyDescent="0.45">
      <c r="A112" s="312" t="s">
        <v>98</v>
      </c>
      <c r="B112" s="313">
        <v>1</v>
      </c>
      <c r="C112" s="459">
        <v>5</v>
      </c>
      <c r="D112" s="461">
        <v>3167244</v>
      </c>
      <c r="E112" s="439">
        <f t="shared" si="1"/>
        <v>154.82118237036707</v>
      </c>
      <c r="F112" s="466">
        <f t="shared" si="2"/>
        <v>96.763238981479418</v>
      </c>
    </row>
    <row r="113" spans="1:10" ht="27" customHeight="1" x14ac:dyDescent="0.45">
      <c r="A113" s="312" t="s">
        <v>100</v>
      </c>
      <c r="B113" s="313">
        <v>1</v>
      </c>
      <c r="C113" s="460">
        <v>6</v>
      </c>
      <c r="D113" s="462">
        <v>3173370</v>
      </c>
      <c r="E113" s="440">
        <f t="shared" si="1"/>
        <v>155.12063342724832</v>
      </c>
      <c r="F113" s="467">
        <f t="shared" si="2"/>
        <v>96.950395892030201</v>
      </c>
    </row>
    <row r="114" spans="1:10" ht="27" customHeight="1" x14ac:dyDescent="0.45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5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155.27259938012693</v>
      </c>
      <c r="F115" s="469">
        <f>AVERAGE(F108:F113)</f>
        <v>97.045374612579337</v>
      </c>
    </row>
    <row r="116" spans="1:10" ht="27" customHeight="1" x14ac:dyDescent="0.45">
      <c r="A116" s="312" t="s">
        <v>103</v>
      </c>
      <c r="B116" s="344">
        <f>(B115/B114)*(B113/B112)*(B111/B110)*(B109/B108)*B107</f>
        <v>4500</v>
      </c>
      <c r="C116" s="422"/>
      <c r="D116" s="446" t="s">
        <v>84</v>
      </c>
      <c r="E116" s="444">
        <f>STDEV(E108:E113)/E115</f>
        <v>7.0398714671334756E-3</v>
      </c>
      <c r="F116" s="423">
        <f>STDEV(F108:F113)/F115</f>
        <v>7.0398714671334548E-3</v>
      </c>
      <c r="I116" s="286"/>
    </row>
    <row r="117" spans="1:10" ht="27" customHeight="1" x14ac:dyDescent="0.45">
      <c r="A117" s="489" t="s">
        <v>78</v>
      </c>
      <c r="B117" s="490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5">
      <c r="A118" s="491"/>
      <c r="B118" s="492"/>
      <c r="C118" s="286"/>
      <c r="D118" s="448"/>
      <c r="E118" s="517" t="s">
        <v>123</v>
      </c>
      <c r="F118" s="518"/>
      <c r="G118" s="286"/>
      <c r="H118" s="286"/>
      <c r="I118" s="286"/>
    </row>
    <row r="119" spans="1:10" ht="25.5" customHeight="1" x14ac:dyDescent="0.45">
      <c r="A119" s="433"/>
      <c r="B119" s="308"/>
      <c r="C119" s="286"/>
      <c r="D119" s="446" t="s">
        <v>124</v>
      </c>
      <c r="E119" s="451">
        <f>MIN(E108:E113)</f>
        <v>153.87277404427982</v>
      </c>
      <c r="F119" s="470">
        <f>MIN(F108:F113)</f>
        <v>96.170483777674889</v>
      </c>
      <c r="G119" s="286"/>
      <c r="H119" s="286"/>
      <c r="I119" s="286"/>
    </row>
    <row r="120" spans="1:10" ht="24" customHeight="1" x14ac:dyDescent="0.45">
      <c r="A120" s="433"/>
      <c r="B120" s="308"/>
      <c r="C120" s="286"/>
      <c r="D120" s="355" t="s">
        <v>125</v>
      </c>
      <c r="E120" s="452">
        <f>MAX(E108:E113)</f>
        <v>157.06193268826411</v>
      </c>
      <c r="F120" s="471">
        <f>MAX(F108:F113)</f>
        <v>98.16370793016506</v>
      </c>
      <c r="G120" s="286"/>
      <c r="H120" s="286"/>
      <c r="I120" s="286"/>
    </row>
    <row r="121" spans="1:10" ht="27" customHeight="1" x14ac:dyDescent="0.35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5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" x14ac:dyDescent="0.35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85">
      <c r="A124" s="296" t="s">
        <v>106</v>
      </c>
      <c r="B124" s="385" t="s">
        <v>126</v>
      </c>
      <c r="C124" s="493" t="str">
        <f>B26</f>
        <v>TRIMETHOPRIM</v>
      </c>
      <c r="D124" s="493"/>
      <c r="E124" s="386" t="s">
        <v>127</v>
      </c>
      <c r="F124" s="386"/>
      <c r="G124" s="472">
        <f>F115</f>
        <v>97.045374612579337</v>
      </c>
      <c r="H124" s="286"/>
      <c r="I124" s="286"/>
    </row>
    <row r="125" spans="1:10" ht="45.75" customHeight="1" x14ac:dyDescent="0.85">
      <c r="A125" s="296"/>
      <c r="B125" s="385" t="s">
        <v>128</v>
      </c>
      <c r="C125" s="297" t="s">
        <v>129</v>
      </c>
      <c r="D125" s="472">
        <f>MIN(F108:F113)</f>
        <v>96.170483777674889</v>
      </c>
      <c r="E125" s="397" t="s">
        <v>130</v>
      </c>
      <c r="F125" s="472">
        <f>MAX(F108:F113)</f>
        <v>98.16370793016506</v>
      </c>
      <c r="G125" s="387"/>
      <c r="H125" s="286"/>
      <c r="I125" s="286"/>
    </row>
    <row r="126" spans="1:10" ht="19.5" customHeight="1" x14ac:dyDescent="0.35">
      <c r="A126" s="425"/>
      <c r="B126" s="425"/>
      <c r="C126" s="426"/>
      <c r="D126" s="426"/>
      <c r="E126" s="426"/>
      <c r="F126" s="426"/>
      <c r="G126" s="426"/>
      <c r="H126" s="426"/>
    </row>
    <row r="127" spans="1:10" ht="18" x14ac:dyDescent="0.35">
      <c r="B127" s="494" t="s">
        <v>26</v>
      </c>
      <c r="C127" s="494"/>
      <c r="E127" s="392" t="s">
        <v>27</v>
      </c>
      <c r="F127" s="427"/>
      <c r="G127" s="494" t="s">
        <v>28</v>
      </c>
      <c r="H127" s="494"/>
    </row>
    <row r="128" spans="1:10" ht="69.900000000000006" customHeight="1" x14ac:dyDescent="0.35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00000000000006" customHeight="1" x14ac:dyDescent="0.35">
      <c r="A129" s="428" t="s">
        <v>30</v>
      </c>
      <c r="B129" s="431"/>
      <c r="C129" s="431"/>
      <c r="E129" s="431"/>
      <c r="F129" s="286"/>
      <c r="G129" s="432"/>
      <c r="H129" s="432"/>
    </row>
    <row r="130" spans="1:9" ht="18" x14ac:dyDescent="0.35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" x14ac:dyDescent="0.35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" x14ac:dyDescent="0.35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" x14ac:dyDescent="0.35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" x14ac:dyDescent="0.35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" x14ac:dyDescent="0.35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" x14ac:dyDescent="0.35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" x14ac:dyDescent="0.35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" x14ac:dyDescent="0.35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SULFAMETHOXAZOLE</vt:lpstr>
      <vt:lpstr>SST TRIMETHOPRIM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2017-11-13T05:59:30Z</cp:lastPrinted>
  <dcterms:created xsi:type="dcterms:W3CDTF">2005-07-05T10:19:27Z</dcterms:created>
  <dcterms:modified xsi:type="dcterms:W3CDTF">2017-11-17T07:56:35Z</dcterms:modified>
</cp:coreProperties>
</file>