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4"/>
  </bookViews>
  <sheets>
    <sheet name="SST SULFAMETHOXAZOLE" sheetId="5" r:id="rId1"/>
    <sheet name="SST TRIMETHOPRIM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F51" i="5" l="1"/>
  <c r="F30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B57" i="3"/>
  <c r="B69" i="3" s="1"/>
  <c r="C56" i="3"/>
  <c r="B55" i="3"/>
  <c r="B45" i="3"/>
  <c r="D48" i="3" s="1"/>
  <c r="F42" i="3"/>
  <c r="D42" i="3"/>
  <c r="B34" i="3"/>
  <c r="B30" i="3"/>
  <c r="D49" i="2"/>
  <c r="C49" i="2"/>
  <c r="C46" i="2"/>
  <c r="B57" i="4" s="1"/>
  <c r="C45" i="2"/>
  <c r="D43" i="2"/>
  <c r="D40" i="2"/>
  <c r="D39" i="2"/>
  <c r="D36" i="2"/>
  <c r="D35" i="2"/>
  <c r="D32" i="2"/>
  <c r="D31" i="2"/>
  <c r="D28" i="2"/>
  <c r="D27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I39" i="4"/>
  <c r="I92" i="3"/>
  <c r="D101" i="4"/>
  <c r="F97" i="4"/>
  <c r="D49" i="4"/>
  <c r="D44" i="4"/>
  <c r="D45" i="4" s="1"/>
  <c r="F45" i="4"/>
  <c r="G38" i="4" s="1"/>
  <c r="F98" i="4"/>
  <c r="F99" i="4" s="1"/>
  <c r="D98" i="4"/>
  <c r="D99" i="4" s="1"/>
  <c r="D101" i="3"/>
  <c r="G94" i="3" s="1"/>
  <c r="I39" i="3"/>
  <c r="F98" i="3"/>
  <c r="F99" i="3" s="1"/>
  <c r="D44" i="3"/>
  <c r="D45" i="3" s="1"/>
  <c r="D46" i="3" s="1"/>
  <c r="F44" i="3"/>
  <c r="F45" i="3" s="1"/>
  <c r="D49" i="3"/>
  <c r="G41" i="3"/>
  <c r="D102" i="3"/>
  <c r="B69" i="4"/>
  <c r="G92" i="4"/>
  <c r="D102" i="4"/>
  <c r="E93" i="4"/>
  <c r="G40" i="4"/>
  <c r="D25" i="2"/>
  <c r="D29" i="2"/>
  <c r="D33" i="2"/>
  <c r="D37" i="2"/>
  <c r="D41" i="2"/>
  <c r="C50" i="2"/>
  <c r="D97" i="3"/>
  <c r="D98" i="3" s="1"/>
  <c r="D99" i="3" s="1"/>
  <c r="D26" i="2"/>
  <c r="D30" i="2"/>
  <c r="D34" i="2"/>
  <c r="D38" i="2"/>
  <c r="D42" i="2"/>
  <c r="B49" i="2"/>
  <c r="D50" i="2"/>
  <c r="E92" i="4" l="1"/>
  <c r="E94" i="4"/>
  <c r="G93" i="4"/>
  <c r="E91" i="4"/>
  <c r="E39" i="4"/>
  <c r="E38" i="4"/>
  <c r="E41" i="4"/>
  <c r="F46" i="4"/>
  <c r="E40" i="4"/>
  <c r="G39" i="4"/>
  <c r="G41" i="4"/>
  <c r="D46" i="4"/>
  <c r="G91" i="4"/>
  <c r="G94" i="4"/>
  <c r="G42" i="4"/>
  <c r="G91" i="3"/>
  <c r="G93" i="3"/>
  <c r="G92" i="3"/>
  <c r="E38" i="3"/>
  <c r="E41" i="3"/>
  <c r="E39" i="3"/>
  <c r="E91" i="3"/>
  <c r="F46" i="3"/>
  <c r="G39" i="3"/>
  <c r="E94" i="3"/>
  <c r="E93" i="3"/>
  <c r="G38" i="3"/>
  <c r="E92" i="3"/>
  <c r="G40" i="3"/>
  <c r="E40" i="3"/>
  <c r="E95" i="4" l="1"/>
  <c r="D52" i="4"/>
  <c r="G95" i="4"/>
  <c r="D50" i="4"/>
  <c r="G70" i="4" s="1"/>
  <c r="H70" i="4" s="1"/>
  <c r="E42" i="4"/>
  <c r="D105" i="4"/>
  <c r="D103" i="4"/>
  <c r="E111" i="4" s="1"/>
  <c r="F111" i="4" s="1"/>
  <c r="G95" i="3"/>
  <c r="G42" i="3"/>
  <c r="D52" i="3"/>
  <c r="D50" i="3"/>
  <c r="G68" i="3" s="1"/>
  <c r="H68" i="3" s="1"/>
  <c r="E42" i="3"/>
  <c r="E95" i="3"/>
  <c r="D105" i="3"/>
  <c r="D103" i="3"/>
  <c r="E113" i="4" l="1"/>
  <c r="F113" i="4" s="1"/>
  <c r="E108" i="4"/>
  <c r="E112" i="4"/>
  <c r="F112" i="4" s="1"/>
  <c r="D104" i="4"/>
  <c r="E109" i="4"/>
  <c r="F109" i="4" s="1"/>
  <c r="E110" i="4"/>
  <c r="F110" i="4" s="1"/>
  <c r="G64" i="4"/>
  <c r="H64" i="4" s="1"/>
  <c r="G65" i="4"/>
  <c r="H65" i="4" s="1"/>
  <c r="G69" i="4"/>
  <c r="H69" i="4" s="1"/>
  <c r="G63" i="4"/>
  <c r="H63" i="4" s="1"/>
  <c r="G60" i="4"/>
  <c r="H60" i="4" s="1"/>
  <c r="G71" i="4"/>
  <c r="H71" i="4" s="1"/>
  <c r="G67" i="4"/>
  <c r="H67" i="4" s="1"/>
  <c r="G62" i="4"/>
  <c r="H62" i="4" s="1"/>
  <c r="G68" i="4"/>
  <c r="H68" i="4" s="1"/>
  <c r="D51" i="4"/>
  <c r="G66" i="4"/>
  <c r="H66" i="4" s="1"/>
  <c r="G61" i="4"/>
  <c r="H61" i="4" s="1"/>
  <c r="G60" i="3"/>
  <c r="H60" i="3" s="1"/>
  <c r="G69" i="3"/>
  <c r="H69" i="3" s="1"/>
  <c r="G61" i="3"/>
  <c r="H61" i="3" s="1"/>
  <c r="G65" i="3"/>
  <c r="H65" i="3" s="1"/>
  <c r="G70" i="3"/>
  <c r="H70" i="3" s="1"/>
  <c r="G64" i="3"/>
  <c r="H64" i="3" s="1"/>
  <c r="G63" i="3"/>
  <c r="H63" i="3" s="1"/>
  <c r="G71" i="3"/>
  <c r="H71" i="3" s="1"/>
  <c r="G66" i="3"/>
  <c r="H66" i="3" s="1"/>
  <c r="D51" i="3"/>
  <c r="G67" i="3"/>
  <c r="H67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E119" i="4" l="1"/>
  <c r="F108" i="4"/>
  <c r="F120" i="4" s="1"/>
  <c r="E115" i="4"/>
  <c r="E116" i="4" s="1"/>
  <c r="E120" i="4"/>
  <c r="E117" i="4"/>
  <c r="G72" i="4"/>
  <c r="G73" i="4" s="1"/>
  <c r="G74" i="4"/>
  <c r="G72" i="3"/>
  <c r="G73" i="3" s="1"/>
  <c r="G74" i="3"/>
  <c r="E115" i="3"/>
  <c r="E116" i="3" s="1"/>
  <c r="E119" i="3"/>
  <c r="E120" i="3"/>
  <c r="E117" i="3"/>
  <c r="F108" i="3"/>
  <c r="H74" i="4"/>
  <c r="H72" i="4"/>
  <c r="H74" i="3"/>
  <c r="H72" i="3"/>
  <c r="F115" i="4" l="1"/>
  <c r="G124" i="4" s="1"/>
  <c r="D125" i="4"/>
  <c r="F117" i="4"/>
  <c r="F125" i="4"/>
  <c r="F119" i="4"/>
  <c r="G76" i="3"/>
  <c r="H73" i="3"/>
  <c r="G76" i="4"/>
  <c r="H73" i="4"/>
  <c r="F119" i="3"/>
  <c r="F125" i="3"/>
  <c r="F120" i="3"/>
  <c r="F117" i="3"/>
  <c r="D125" i="3"/>
  <c r="F115" i="3"/>
  <c r="F116" i="4" l="1"/>
  <c r="G124" i="3"/>
  <c r="F116" i="3"/>
</calcChain>
</file>

<file path=xl/sharedStrings.xml><?xml version="1.0" encoding="utf-8"?>
<sst xmlns="http://schemas.openxmlformats.org/spreadsheetml/2006/main" count="460" uniqueCount="139">
  <si>
    <t>HPLC System Suitability Report</t>
  </si>
  <si>
    <t>Analysis Data</t>
  </si>
  <si>
    <t>Assay</t>
  </si>
  <si>
    <t>Sample(s)</t>
  </si>
  <si>
    <t>Reference Substance:</t>
  </si>
  <si>
    <t>SULFRAN - DS TABLETS</t>
  </si>
  <si>
    <t>% age Purity:</t>
  </si>
  <si>
    <t>NDQB201710258</t>
  </si>
  <si>
    <t>Weight (mg):</t>
  </si>
  <si>
    <t>Sulfamethoxazole &amp; Trimethoprim</t>
  </si>
  <si>
    <t>Standard Conc (mg/mL):</t>
  </si>
  <si>
    <t xml:space="preserve">Each tablet contains: Sulphamethoxazole BP 800 mg and Trimethoprim 
BP 160 mg.
</t>
  </si>
  <si>
    <t>2017-10-24 09:37:38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</si>
  <si>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</si>
  <si>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</si>
  <si>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</si>
  <si>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</si>
  <si>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</si>
  <si>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</si>
  <si>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</si>
  <si>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</si>
  <si>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</si>
  <si>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</si>
  <si>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</si>
  <si>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</si>
  <si>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</si>
  <si>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</si>
  <si>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</si>
  <si>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</si>
  <si>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</si>
  <si>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</si>
  <si>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</si>
  <si>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</si>
  <si>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</si>
  <si>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</si>
  <si>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</si>
  <si>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</si>
  <si>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</si>
  <si>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</si>
  <si>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</si>
  <si>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</si>
  <si>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</si>
  <si>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</si>
  <si>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</si>
  <si>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</si>
  <si>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</si>
  <si>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</si>
  <si>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</si>
  <si>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</si>
  <si>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</si>
  <si>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</si>
  <si>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</si>
  <si>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</si>
  <si>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</si>
  <si>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</si>
  <si>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</si>
  <si>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</si>
  <si>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</si>
  <si>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</si>
  <si>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</si>
  <si>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</si>
  <si>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</si>
  <si>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</si>
  <si>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</si>
  <si>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</si>
  <si>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</si>
  <si>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</si>
  <si>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</si>
  <si>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</si>
  <si>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</si>
  <si>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</si>
  <si>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</si>
  <si>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</si>
  <si>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</si>
  <si>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</si>
  <si>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</si>
  <si>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</si>
  <si>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</si>
  <si>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</si>
  <si>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</si>
  <si>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</si>
  <si>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</si>
  <si>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</si>
  <si>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</si>
  <si>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</si>
  <si>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</si>
  <si>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</si>
  <si>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</si>
  <si>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</si>
  <si>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</si>
  <si>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</si>
  <si>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</si>
  <si>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</si>
  <si>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</si>
  <si>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</si>
  <si>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</si>
  <si>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</si>
  <si>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</si>
  <si>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</si>
  <si>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</si>
  <si>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</si>
  <si>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</si>
  <si>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</si>
  <si>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</si>
  <si>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</si>
  <si>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</si>
  <si>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</si>
  <si>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</si>
  <si>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</si>
  <si>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</si>
  <si>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</si>
  <si>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</si>
  <si>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</si>
  <si>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</si>
  <si>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</si>
  <si>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</si>
  <si>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</si>
  <si>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</si>
  <si>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</si>
  <si>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</si>
  <si>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</si>
  <si>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</si>
  <si>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</si>
  <si>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</si>
  <si>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</si>
  <si>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</si>
  <si>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</si>
  <si>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</si>
  <si>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</si>
  <si>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</si>
  <si>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</si>
  <si>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SULFAMETHOXAZOLE</t>
  </si>
  <si>
    <t>RESOLUTION</t>
  </si>
  <si>
    <r>
      <t xml:space="preserve">The Resolution between Trimethoprim and Sulfamethoxazole peaks should </t>
    </r>
    <r>
      <rPr>
        <b/>
        <sz val="12"/>
        <color rgb="FF000000"/>
        <rFont val="Book Antiqua"/>
        <family val="1"/>
      </rPr>
      <t>not be less than 5.0</t>
    </r>
    <r>
      <rPr>
        <sz val="12"/>
        <color rgb="FF000000"/>
        <rFont val="Book Antiqua"/>
        <family val="1"/>
      </rPr>
      <t xml:space="preserve"> </t>
    </r>
  </si>
  <si>
    <t>TRIMETHOPRIM</t>
  </si>
  <si>
    <t>DR.</t>
  </si>
  <si>
    <t>PETER NGUMO</t>
  </si>
  <si>
    <t>S12-6</t>
  </si>
  <si>
    <t>T7-5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</si>
</sst>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1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24" fillId="2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26" fillId="2" borderId="0" xfId="0" applyFont="1" applyFill="1"/>
    <xf numFmtId="2" fontId="25" fillId="2" borderId="0" xfId="0" applyNumberFormat="1" applyFont="1" applyFill="1" applyAlignment="1">
      <alignment horizontal="center"/>
    </xf>
    <xf numFmtId="0" fontId="27" fillId="2" borderId="7" xfId="0" applyFont="1" applyFill="1" applyBorder="1"/>
    <xf numFmtId="0" fontId="30" fillId="3" borderId="3" xfId="0" applyFont="1" applyFill="1" applyBorder="1" applyAlignment="1" applyProtection="1">
      <alignment horizontal="center"/>
      <protection locked="0"/>
    </xf>
    <xf numFmtId="2" fontId="30" fillId="3" borderId="3" xfId="0" applyNumberFormat="1" applyFont="1" applyFill="1" applyBorder="1" applyAlignment="1" applyProtection="1">
      <alignment horizontal="center"/>
      <protection locked="0"/>
    </xf>
    <xf numFmtId="2" fontId="30" fillId="3" borderId="4" xfId="0" applyNumberFormat="1" applyFont="1" applyFill="1" applyBorder="1" applyAlignment="1" applyProtection="1">
      <alignment horizontal="center"/>
      <protection locked="0"/>
    </xf>
    <xf numFmtId="0" fontId="30" fillId="3" borderId="5" xfId="0" applyFont="1" applyFill="1" applyBorder="1" applyAlignment="1" applyProtection="1">
      <alignment horizontal="center"/>
      <protection locked="0"/>
    </xf>
    <xf numFmtId="2" fontId="30" fillId="3" borderId="5" xfId="0" applyNumberFormat="1" applyFont="1" applyFill="1" applyBorder="1" applyAlignment="1" applyProtection="1">
      <alignment horizontal="center"/>
      <protection locked="0"/>
    </xf>
    <xf numFmtId="0" fontId="12" fillId="3" borderId="29" xfId="0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28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29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43" xfId="0" applyFont="1" applyFill="1" applyBorder="1" applyAlignment="1">
      <alignment horizontal="center" vertical="center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B62" sqref="B62"/>
    </sheetView>
  </sheetViews>
  <sheetFormatPr defaultRowHeight="13.5" x14ac:dyDescent="0.25"/>
  <cols>
    <col min="1" max="1" width="27.5703125" style="401" customWidth="1"/>
    <col min="2" max="2" width="20.42578125" style="401" customWidth="1"/>
    <col min="3" max="3" width="31.85546875" style="401" customWidth="1"/>
    <col min="4" max="4" width="25.85546875" style="401" customWidth="1"/>
    <col min="5" max="5" width="25.7109375" style="401" customWidth="1"/>
    <col min="6" max="6" width="23.140625" style="401" customWidth="1"/>
    <col min="7" max="7" width="28.42578125" style="401" customWidth="1"/>
    <col min="8" max="8" width="21.5703125" style="401" customWidth="1"/>
    <col min="9" max="9" width="9.140625" style="401" customWidth="1"/>
    <col min="10" max="16384" width="9.140625" style="39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85" t="s">
        <v>1</v>
      </c>
      <c r="B16" s="54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67"/>
    </row>
    <row r="18" spans="1:6" ht="16.5" customHeight="1" x14ac:dyDescent="0.3">
      <c r="A18" s="70" t="s">
        <v>4</v>
      </c>
      <c r="B18" s="467" t="s">
        <v>131</v>
      </c>
      <c r="C18" s="67"/>
      <c r="D18" s="67"/>
      <c r="E18" s="67"/>
    </row>
    <row r="19" spans="1:6" ht="16.5" customHeight="1" x14ac:dyDescent="0.3">
      <c r="A19" s="70" t="s">
        <v>6</v>
      </c>
      <c r="B19" s="12">
        <v>99.02</v>
      </c>
      <c r="C19" s="67"/>
      <c r="D19" s="67"/>
      <c r="E19" s="67"/>
    </row>
    <row r="20" spans="1:6" ht="16.5" customHeight="1" x14ac:dyDescent="0.3">
      <c r="A20" s="8" t="s">
        <v>8</v>
      </c>
      <c r="B20" s="12">
        <v>16.02</v>
      </c>
      <c r="C20" s="67"/>
      <c r="D20" s="67"/>
      <c r="E20" s="67"/>
    </row>
    <row r="21" spans="1:6" ht="16.5" customHeight="1" x14ac:dyDescent="0.3">
      <c r="A21" s="8" t="s">
        <v>10</v>
      </c>
      <c r="B21" s="13">
        <v>0.16</v>
      </c>
      <c r="C21" s="67"/>
      <c r="D21" s="67"/>
      <c r="E21" s="67"/>
    </row>
    <row r="22" spans="1:6" ht="15.75" customHeight="1" x14ac:dyDescent="0.25">
      <c r="A22" s="67"/>
      <c r="B22" s="67" t="s">
        <v>12</v>
      </c>
      <c r="C22" s="67"/>
      <c r="D22" s="67"/>
      <c r="E22" s="67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  <c r="F23" s="468" t="s">
        <v>132</v>
      </c>
    </row>
    <row r="24" spans="1:6" ht="16.5" customHeight="1" x14ac:dyDescent="0.3">
      <c r="A24" s="17">
        <v>1</v>
      </c>
      <c r="B24" s="472">
        <v>34026610</v>
      </c>
      <c r="C24" s="472">
        <v>11085.1</v>
      </c>
      <c r="D24" s="473">
        <v>1.1000000000000001</v>
      </c>
      <c r="E24" s="474">
        <v>10.1</v>
      </c>
      <c r="F24" s="409">
        <v>20.263680000000001</v>
      </c>
    </row>
    <row r="25" spans="1:6" ht="16.5" customHeight="1" x14ac:dyDescent="0.3">
      <c r="A25" s="17">
        <v>2</v>
      </c>
      <c r="B25" s="472">
        <v>34186209</v>
      </c>
      <c r="C25" s="472">
        <v>10788.7</v>
      </c>
      <c r="D25" s="473">
        <v>1.1000000000000001</v>
      </c>
      <c r="E25" s="473">
        <v>10.1</v>
      </c>
      <c r="F25" s="409">
        <v>20.00177</v>
      </c>
    </row>
    <row r="26" spans="1:6" ht="16.5" customHeight="1" x14ac:dyDescent="0.3">
      <c r="A26" s="17">
        <v>3</v>
      </c>
      <c r="B26" s="472">
        <v>34004126</v>
      </c>
      <c r="C26" s="472">
        <v>10396.700000000001</v>
      </c>
      <c r="D26" s="473">
        <v>1.2</v>
      </c>
      <c r="E26" s="473">
        <v>10.1</v>
      </c>
      <c r="F26" s="409">
        <v>19.650780000000001</v>
      </c>
    </row>
    <row r="27" spans="1:6" ht="16.5" customHeight="1" x14ac:dyDescent="0.3">
      <c r="A27" s="17">
        <v>4</v>
      </c>
      <c r="B27" s="472">
        <v>34149252</v>
      </c>
      <c r="C27" s="472">
        <v>10204.5</v>
      </c>
      <c r="D27" s="473">
        <v>1.2</v>
      </c>
      <c r="E27" s="473">
        <v>10.1</v>
      </c>
      <c r="F27" s="409">
        <v>19.45318</v>
      </c>
    </row>
    <row r="28" spans="1:6" ht="16.5" customHeight="1" x14ac:dyDescent="0.3">
      <c r="A28" s="17">
        <v>5</v>
      </c>
      <c r="B28" s="472">
        <v>34423121</v>
      </c>
      <c r="C28" s="472">
        <v>10070.299999999999</v>
      </c>
      <c r="D28" s="473">
        <v>1.2</v>
      </c>
      <c r="E28" s="473">
        <v>10.1</v>
      </c>
      <c r="F28" s="409">
        <v>19.3294</v>
      </c>
    </row>
    <row r="29" spans="1:6" ht="16.5" customHeight="1" x14ac:dyDescent="0.3">
      <c r="A29" s="17">
        <v>6</v>
      </c>
      <c r="B29" s="475">
        <v>34330256</v>
      </c>
      <c r="C29" s="475">
        <v>10009.200000000001</v>
      </c>
      <c r="D29" s="473">
        <v>1.2</v>
      </c>
      <c r="E29" s="473">
        <v>10.1</v>
      </c>
      <c r="F29" s="409">
        <v>19.247440000000001</v>
      </c>
    </row>
    <row r="30" spans="1:6" ht="16.5" customHeight="1" x14ac:dyDescent="0.3">
      <c r="A30" s="18" t="s">
        <v>18</v>
      </c>
      <c r="B30" s="19">
        <f>AVERAGE(B24:B29)</f>
        <v>34186595.666666664</v>
      </c>
      <c r="C30" s="20">
        <f>AVERAGE(C24:C29)</f>
        <v>10425.75</v>
      </c>
      <c r="D30" s="21">
        <f>AVERAGE(D24:D29)</f>
        <v>1.1666666666666667</v>
      </c>
      <c r="E30" s="21">
        <f>AVERAGE(E24:E29)</f>
        <v>10.1</v>
      </c>
      <c r="F30" s="470">
        <f>AVERAGE(F24:F29)</f>
        <v>19.657708333333336</v>
      </c>
    </row>
    <row r="31" spans="1:6" ht="16.5" customHeight="1" x14ac:dyDescent="0.3">
      <c r="A31" s="22" t="s">
        <v>19</v>
      </c>
      <c r="B31" s="23">
        <f>(STDEV(B24:B29)/B30)</f>
        <v>4.8396038288409703E-3</v>
      </c>
      <c r="C31" s="24"/>
      <c r="D31" s="24"/>
      <c r="E31" s="25"/>
    </row>
    <row r="32" spans="1:6" s="401" customFormat="1" ht="16.5" customHeight="1" x14ac:dyDescent="0.3">
      <c r="A32" s="26" t="s">
        <v>20</v>
      </c>
      <c r="B32" s="27">
        <f>COUNT(B24:B29)</f>
        <v>6</v>
      </c>
      <c r="C32" s="28"/>
      <c r="D32" s="68"/>
      <c r="E32" s="30"/>
    </row>
    <row r="33" spans="1:6" s="401" customFormat="1" ht="15.75" customHeight="1" x14ac:dyDescent="0.25">
      <c r="A33" s="67"/>
      <c r="B33" s="67"/>
      <c r="C33" s="67"/>
      <c r="D33" s="67"/>
      <c r="E33" s="67"/>
    </row>
    <row r="34" spans="1:6" s="401" customFormat="1" ht="16.5" customHeight="1" x14ac:dyDescent="0.3">
      <c r="A34" s="70" t="s">
        <v>21</v>
      </c>
      <c r="B34" s="35" t="s">
        <v>22</v>
      </c>
      <c r="C34" s="34"/>
      <c r="D34" s="34"/>
      <c r="E34" s="34"/>
    </row>
    <row r="35" spans="1:6" ht="16.5" customHeight="1" x14ac:dyDescent="0.3">
      <c r="A35" s="70"/>
      <c r="B35" s="35" t="s">
        <v>23</v>
      </c>
      <c r="C35" s="34"/>
      <c r="D35" s="34"/>
      <c r="E35" s="34"/>
    </row>
    <row r="36" spans="1:6" ht="16.5" customHeight="1" x14ac:dyDescent="0.3">
      <c r="A36" s="70"/>
      <c r="B36" s="35" t="s">
        <v>24</v>
      </c>
      <c r="C36" s="34"/>
      <c r="D36" s="34"/>
      <c r="E36" s="34"/>
    </row>
    <row r="37" spans="1:6" ht="15.75" customHeight="1" x14ac:dyDescent="0.3">
      <c r="A37" s="67"/>
      <c r="B37" s="469" t="s">
        <v>133</v>
      </c>
      <c r="C37" s="67"/>
      <c r="D37" s="67"/>
      <c r="E37" s="67"/>
    </row>
    <row r="38" spans="1:6" ht="16.5" customHeight="1" x14ac:dyDescent="0.3">
      <c r="A38" s="85" t="s">
        <v>1</v>
      </c>
      <c r="B38" s="54" t="s">
        <v>25</v>
      </c>
    </row>
    <row r="39" spans="1:6" ht="16.5" customHeight="1" x14ac:dyDescent="0.3">
      <c r="A39" s="70" t="s">
        <v>4</v>
      </c>
      <c r="B39" s="467" t="s">
        <v>131</v>
      </c>
      <c r="C39" s="67"/>
      <c r="D39" s="67"/>
      <c r="E39" s="67"/>
    </row>
    <row r="40" spans="1:6" ht="16.5" customHeight="1" x14ac:dyDescent="0.3">
      <c r="A40" s="70" t="s">
        <v>6</v>
      </c>
      <c r="B40" s="12">
        <v>99.02</v>
      </c>
      <c r="C40" s="67"/>
      <c r="D40" s="67"/>
      <c r="E40" s="67"/>
    </row>
    <row r="41" spans="1:6" ht="16.5" customHeight="1" x14ac:dyDescent="0.3">
      <c r="A41" s="8" t="s">
        <v>8</v>
      </c>
      <c r="B41" s="12">
        <v>16.02</v>
      </c>
      <c r="C41" s="67"/>
      <c r="D41" s="67"/>
      <c r="E41" s="67"/>
    </row>
    <row r="42" spans="1:6" ht="16.5" customHeight="1" x14ac:dyDescent="0.3">
      <c r="A42" s="8" t="s">
        <v>10</v>
      </c>
      <c r="B42" s="13">
        <v>0.16</v>
      </c>
      <c r="C42" s="67"/>
      <c r="D42" s="67"/>
      <c r="E42" s="67"/>
    </row>
    <row r="43" spans="1:6" ht="15.75" customHeight="1" x14ac:dyDescent="0.25">
      <c r="A43" s="67"/>
      <c r="B43" s="67"/>
      <c r="C43" s="67"/>
      <c r="D43" s="67"/>
      <c r="E43" s="67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468" t="s">
        <v>132</v>
      </c>
    </row>
    <row r="45" spans="1:6" ht="16.5" customHeight="1" x14ac:dyDescent="0.3">
      <c r="A45" s="17">
        <v>1</v>
      </c>
      <c r="B45" s="472">
        <v>34026610</v>
      </c>
      <c r="C45" s="472">
        <v>11085.1</v>
      </c>
      <c r="D45" s="473">
        <v>1.1000000000000001</v>
      </c>
      <c r="E45" s="474">
        <v>10.1</v>
      </c>
      <c r="F45" s="409">
        <v>20.263680000000001</v>
      </c>
    </row>
    <row r="46" spans="1:6" ht="16.5" customHeight="1" x14ac:dyDescent="0.3">
      <c r="A46" s="17">
        <v>2</v>
      </c>
      <c r="B46" s="472">
        <v>34186209</v>
      </c>
      <c r="C46" s="472">
        <v>10788.7</v>
      </c>
      <c r="D46" s="473">
        <v>1.1000000000000001</v>
      </c>
      <c r="E46" s="473">
        <v>10.1</v>
      </c>
      <c r="F46" s="409">
        <v>20.00177</v>
      </c>
    </row>
    <row r="47" spans="1:6" ht="16.5" customHeight="1" x14ac:dyDescent="0.3">
      <c r="A47" s="17">
        <v>3</v>
      </c>
      <c r="B47" s="472">
        <v>34004126</v>
      </c>
      <c r="C47" s="472">
        <v>10396.700000000001</v>
      </c>
      <c r="D47" s="473">
        <v>1.2</v>
      </c>
      <c r="E47" s="473">
        <v>10.1</v>
      </c>
      <c r="F47" s="409">
        <v>19.650780000000001</v>
      </c>
    </row>
    <row r="48" spans="1:6" ht="16.5" customHeight="1" x14ac:dyDescent="0.3">
      <c r="A48" s="17">
        <v>4</v>
      </c>
      <c r="B48" s="472">
        <v>34149252</v>
      </c>
      <c r="C48" s="472">
        <v>10204.5</v>
      </c>
      <c r="D48" s="473">
        <v>1.2</v>
      </c>
      <c r="E48" s="473">
        <v>10.1</v>
      </c>
      <c r="F48" s="409">
        <v>19.45318</v>
      </c>
    </row>
    <row r="49" spans="1:7" ht="16.5" customHeight="1" x14ac:dyDescent="0.3">
      <c r="A49" s="17">
        <v>5</v>
      </c>
      <c r="B49" s="472">
        <v>34423121</v>
      </c>
      <c r="C49" s="472">
        <v>10070.299999999999</v>
      </c>
      <c r="D49" s="473">
        <v>1.2</v>
      </c>
      <c r="E49" s="473">
        <v>10.1</v>
      </c>
      <c r="F49" s="409">
        <v>19.3294</v>
      </c>
    </row>
    <row r="50" spans="1:7" ht="16.5" customHeight="1" x14ac:dyDescent="0.3">
      <c r="A50" s="17">
        <v>6</v>
      </c>
      <c r="B50" s="475">
        <v>34330256</v>
      </c>
      <c r="C50" s="475">
        <v>10009.200000000001</v>
      </c>
      <c r="D50" s="473">
        <v>1.2</v>
      </c>
      <c r="E50" s="473">
        <v>10.1</v>
      </c>
      <c r="F50" s="409">
        <v>19.247440000000001</v>
      </c>
    </row>
    <row r="51" spans="1:7" ht="16.5" customHeight="1" x14ac:dyDescent="0.3">
      <c r="A51" s="18" t="s">
        <v>18</v>
      </c>
      <c r="B51" s="19">
        <f>AVERAGE(B45:B50)</f>
        <v>34186595.666666664</v>
      </c>
      <c r="C51" s="20">
        <f>AVERAGE(C45:C50)</f>
        <v>10425.75</v>
      </c>
      <c r="D51" s="21">
        <f>AVERAGE(D45:D50)</f>
        <v>1.1666666666666667</v>
      </c>
      <c r="E51" s="21">
        <f>AVERAGE(E45:E50)</f>
        <v>10.1</v>
      </c>
      <c r="F51" s="470">
        <f>AVERAGE(F45:F50)</f>
        <v>19.657708333333336</v>
      </c>
    </row>
    <row r="52" spans="1:7" ht="16.5" customHeight="1" x14ac:dyDescent="0.3">
      <c r="A52" s="22" t="s">
        <v>19</v>
      </c>
      <c r="B52" s="23">
        <f>(STDEV(B45:B50)/B51)</f>
        <v>4.8396038288409703E-3</v>
      </c>
      <c r="C52" s="24"/>
      <c r="D52" s="24"/>
      <c r="E52" s="25"/>
    </row>
    <row r="53" spans="1:7" s="401" customFormat="1" ht="16.5" customHeight="1" x14ac:dyDescent="0.3">
      <c r="A53" s="26" t="s">
        <v>20</v>
      </c>
      <c r="B53" s="27">
        <f>COUNT(B45:B50)</f>
        <v>6</v>
      </c>
      <c r="C53" s="28"/>
      <c r="D53" s="68"/>
      <c r="E53" s="30"/>
    </row>
    <row r="54" spans="1:7" s="401" customFormat="1" ht="15.75" customHeight="1" x14ac:dyDescent="0.25">
      <c r="A54" s="67"/>
      <c r="B54" s="67"/>
      <c r="C54" s="67"/>
      <c r="D54" s="67"/>
      <c r="E54" s="67"/>
    </row>
    <row r="55" spans="1:7" s="401" customFormat="1" ht="16.5" customHeight="1" x14ac:dyDescent="0.3">
      <c r="A55" s="70" t="s">
        <v>21</v>
      </c>
      <c r="B55" s="35" t="s">
        <v>22</v>
      </c>
      <c r="C55" s="34"/>
      <c r="D55" s="34"/>
      <c r="E55" s="34"/>
    </row>
    <row r="56" spans="1:7" ht="16.5" customHeight="1" x14ac:dyDescent="0.3">
      <c r="A56" s="70"/>
      <c r="B56" s="35" t="s">
        <v>23</v>
      </c>
      <c r="C56" s="34"/>
      <c r="D56" s="34"/>
      <c r="E56" s="34"/>
    </row>
    <row r="57" spans="1:7" ht="16.5" customHeight="1" x14ac:dyDescent="0.3">
      <c r="A57" s="70"/>
      <c r="B57" s="35" t="s">
        <v>24</v>
      </c>
      <c r="C57" s="34"/>
      <c r="D57" s="34"/>
      <c r="E57" s="34"/>
    </row>
    <row r="58" spans="1:7" ht="14.25" customHeight="1" thickBot="1" x14ac:dyDescent="0.35">
      <c r="A58" s="36"/>
      <c r="B58" s="469" t="s">
        <v>133</v>
      </c>
      <c r="D58" s="38"/>
      <c r="F58" s="39"/>
      <c r="G58" s="39"/>
    </row>
    <row r="59" spans="1:7" ht="15" customHeight="1" x14ac:dyDescent="0.3">
      <c r="B59" s="479" t="s">
        <v>26</v>
      </c>
      <c r="C59" s="479"/>
      <c r="E59" s="40" t="s">
        <v>27</v>
      </c>
      <c r="F59" s="41"/>
      <c r="G59" s="40" t="s">
        <v>28</v>
      </c>
    </row>
    <row r="60" spans="1:7" ht="15" customHeight="1" x14ac:dyDescent="0.3">
      <c r="A60" s="42" t="s">
        <v>29</v>
      </c>
      <c r="B60" s="44"/>
      <c r="C60" s="44"/>
      <c r="E60" s="44"/>
      <c r="G60" s="44"/>
    </row>
    <row r="61" spans="1:7" ht="15" customHeight="1" x14ac:dyDescent="0.3">
      <c r="A61" s="42" t="s">
        <v>30</v>
      </c>
      <c r="B61" s="45"/>
      <c r="C61" s="45"/>
      <c r="E61" s="45"/>
      <c r="G61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0" zoomScale="89" zoomScaleNormal="89" workbookViewId="0">
      <selection activeCell="H37" sqref="H37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78" t="s">
        <v>0</v>
      </c>
      <c r="B15" s="478"/>
      <c r="C15" s="478"/>
      <c r="D15" s="478"/>
      <c r="E15" s="478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67" t="s">
        <v>134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21.37</v>
      </c>
      <c r="C20" s="10"/>
      <c r="D20" s="10"/>
      <c r="E20" s="10"/>
    </row>
    <row r="21" spans="1:6" ht="16.5" customHeight="1" x14ac:dyDescent="0.3">
      <c r="A21" s="7" t="s">
        <v>10</v>
      </c>
      <c r="B21" s="13">
        <v>3.2000000000000001E-2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472">
        <v>3102648</v>
      </c>
      <c r="C24" s="472">
        <v>6656.8</v>
      </c>
      <c r="D24" s="473">
        <v>1.2</v>
      </c>
      <c r="E24" s="474">
        <v>4.2</v>
      </c>
    </row>
    <row r="25" spans="1:6" ht="16.5" customHeight="1" x14ac:dyDescent="0.3">
      <c r="A25" s="17">
        <v>2</v>
      </c>
      <c r="B25" s="472">
        <v>3112879</v>
      </c>
      <c r="C25" s="472">
        <v>6518</v>
      </c>
      <c r="D25" s="473">
        <v>1.2</v>
      </c>
      <c r="E25" s="473">
        <v>4.2</v>
      </c>
    </row>
    <row r="26" spans="1:6" ht="16.5" customHeight="1" x14ac:dyDescent="0.3">
      <c r="A26" s="17">
        <v>3</v>
      </c>
      <c r="B26" s="472">
        <v>3099559</v>
      </c>
      <c r="C26" s="472">
        <v>6310.3</v>
      </c>
      <c r="D26" s="473">
        <v>1.2</v>
      </c>
      <c r="E26" s="473">
        <v>4.2</v>
      </c>
    </row>
    <row r="27" spans="1:6" ht="16.5" customHeight="1" x14ac:dyDescent="0.3">
      <c r="A27" s="17">
        <v>4</v>
      </c>
      <c r="B27" s="472">
        <v>3111388</v>
      </c>
      <c r="C27" s="472">
        <v>6165.9</v>
      </c>
      <c r="D27" s="473">
        <v>1.2</v>
      </c>
      <c r="E27" s="473">
        <v>4.2</v>
      </c>
    </row>
    <row r="28" spans="1:6" ht="16.5" customHeight="1" x14ac:dyDescent="0.3">
      <c r="A28" s="17">
        <v>5</v>
      </c>
      <c r="B28" s="472">
        <v>3135460</v>
      </c>
      <c r="C28" s="472">
        <v>6110.9</v>
      </c>
      <c r="D28" s="473">
        <v>1.2</v>
      </c>
      <c r="E28" s="473">
        <v>4.2</v>
      </c>
    </row>
    <row r="29" spans="1:6" ht="16.5" customHeight="1" x14ac:dyDescent="0.3">
      <c r="A29" s="17">
        <v>6</v>
      </c>
      <c r="B29" s="475">
        <v>3125235</v>
      </c>
      <c r="C29" s="475">
        <v>6074.2</v>
      </c>
      <c r="D29" s="476">
        <v>1.2</v>
      </c>
      <c r="E29" s="476">
        <v>4.2</v>
      </c>
    </row>
    <row r="30" spans="1:6" ht="16.5" customHeight="1" x14ac:dyDescent="0.3">
      <c r="A30" s="18" t="s">
        <v>18</v>
      </c>
      <c r="B30" s="19">
        <f>AVERAGE(B24:B29)</f>
        <v>3114528.1666666665</v>
      </c>
      <c r="C30" s="20">
        <f>AVERAGE(C24:C29)</f>
        <v>6306.0166666666664</v>
      </c>
      <c r="D30" s="21">
        <f>AVERAGE(D24:D29)</f>
        <v>1.2</v>
      </c>
      <c r="E30" s="21">
        <f>AVERAGE(E24:E29)</f>
        <v>4.2</v>
      </c>
    </row>
    <row r="31" spans="1:6" ht="16.5" customHeight="1" x14ac:dyDescent="0.3">
      <c r="A31" s="22" t="s">
        <v>19</v>
      </c>
      <c r="B31" s="23">
        <f>(STDEV(B24:B29)/B30)</f>
        <v>4.3802396649269488E-3</v>
      </c>
      <c r="C31" s="24"/>
      <c r="D31" s="24"/>
      <c r="E31" s="25"/>
      <c r="F31" s="2"/>
    </row>
    <row r="32" spans="1:6" s="2" customFormat="1" ht="16.5" customHeight="1" x14ac:dyDescent="0.3">
      <c r="A32" s="26" t="s">
        <v>20</v>
      </c>
      <c r="B32" s="27">
        <f>COUNT(B24:B29)</f>
        <v>6</v>
      </c>
      <c r="C32" s="28"/>
      <c r="D32" s="29"/>
      <c r="E32" s="30"/>
    </row>
    <row r="33" spans="1:6" s="2" customFormat="1" ht="15.75" customHeight="1" x14ac:dyDescent="0.25">
      <c r="A33" s="10"/>
      <c r="B33" s="10"/>
      <c r="C33" s="10"/>
      <c r="D33" s="10"/>
      <c r="E33" s="31"/>
    </row>
    <row r="34" spans="1:6" s="2" customFormat="1" ht="16.5" customHeight="1" x14ac:dyDescent="0.3">
      <c r="A34" s="11" t="s">
        <v>21</v>
      </c>
      <c r="B34" s="32" t="s">
        <v>22</v>
      </c>
      <c r="C34" s="33"/>
      <c r="D34" s="33"/>
      <c r="E34" s="34"/>
    </row>
    <row r="35" spans="1:6" ht="16.5" customHeight="1" x14ac:dyDescent="0.3">
      <c r="A35" s="11"/>
      <c r="B35" s="32" t="s">
        <v>23</v>
      </c>
      <c r="C35" s="33"/>
      <c r="D35" s="33"/>
      <c r="E35" s="34"/>
      <c r="F35" s="2"/>
    </row>
    <row r="36" spans="1:6" ht="16.5" customHeight="1" x14ac:dyDescent="0.3">
      <c r="A36" s="11"/>
      <c r="B36" s="35" t="s">
        <v>24</v>
      </c>
      <c r="C36" s="33"/>
      <c r="D36" s="33"/>
      <c r="E36" s="33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467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</v>
      </c>
      <c r="C40" s="10"/>
      <c r="D40" s="10"/>
      <c r="E40" s="10"/>
    </row>
    <row r="41" spans="1:6" ht="16.5" customHeight="1" x14ac:dyDescent="0.3">
      <c r="A41" s="7" t="s">
        <v>8</v>
      </c>
      <c r="B41" s="12">
        <v>21.37</v>
      </c>
      <c r="C41" s="10"/>
      <c r="D41" s="10"/>
      <c r="E41" s="10"/>
    </row>
    <row r="42" spans="1:6" ht="16.5" customHeight="1" x14ac:dyDescent="0.3">
      <c r="A42" s="7" t="s">
        <v>10</v>
      </c>
      <c r="B42" s="13">
        <v>3.2000000000000001E-2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472">
        <v>3102648</v>
      </c>
      <c r="C45" s="472">
        <v>6656.8</v>
      </c>
      <c r="D45" s="473">
        <v>1.2</v>
      </c>
      <c r="E45" s="474">
        <v>4.2</v>
      </c>
    </row>
    <row r="46" spans="1:6" ht="16.5" customHeight="1" x14ac:dyDescent="0.3">
      <c r="A46" s="17">
        <v>2</v>
      </c>
      <c r="B46" s="472">
        <v>3112879</v>
      </c>
      <c r="C46" s="472">
        <v>6518</v>
      </c>
      <c r="D46" s="473">
        <v>1.2</v>
      </c>
      <c r="E46" s="473">
        <v>4.2</v>
      </c>
    </row>
    <row r="47" spans="1:6" ht="16.5" customHeight="1" x14ac:dyDescent="0.3">
      <c r="A47" s="17">
        <v>3</v>
      </c>
      <c r="B47" s="472">
        <v>3099559</v>
      </c>
      <c r="C47" s="472">
        <v>6310.3</v>
      </c>
      <c r="D47" s="473">
        <v>1.2</v>
      </c>
      <c r="E47" s="473">
        <v>4.2</v>
      </c>
    </row>
    <row r="48" spans="1:6" ht="16.5" customHeight="1" x14ac:dyDescent="0.3">
      <c r="A48" s="17">
        <v>4</v>
      </c>
      <c r="B48" s="472">
        <v>3111388</v>
      </c>
      <c r="C48" s="472">
        <v>6165.9</v>
      </c>
      <c r="D48" s="473">
        <v>1.2</v>
      </c>
      <c r="E48" s="473">
        <v>4.2</v>
      </c>
    </row>
    <row r="49" spans="1:7" ht="16.5" customHeight="1" x14ac:dyDescent="0.3">
      <c r="A49" s="17">
        <v>5</v>
      </c>
      <c r="B49" s="472">
        <v>3135460</v>
      </c>
      <c r="C49" s="472">
        <v>6110.9</v>
      </c>
      <c r="D49" s="473">
        <v>1.2</v>
      </c>
      <c r="E49" s="473">
        <v>4.2</v>
      </c>
    </row>
    <row r="50" spans="1:7" ht="16.5" customHeight="1" x14ac:dyDescent="0.3">
      <c r="A50" s="17">
        <v>6</v>
      </c>
      <c r="B50" s="475">
        <v>3125235</v>
      </c>
      <c r="C50" s="475">
        <v>6074.2</v>
      </c>
      <c r="D50" s="476">
        <v>1.2</v>
      </c>
      <c r="E50" s="476">
        <v>4.2</v>
      </c>
    </row>
    <row r="51" spans="1:7" ht="16.5" customHeight="1" x14ac:dyDescent="0.3">
      <c r="A51" s="18" t="s">
        <v>18</v>
      </c>
      <c r="B51" s="19">
        <f>AVERAGE(B45:B50)</f>
        <v>3114528.1666666665</v>
      </c>
      <c r="C51" s="20">
        <f>AVERAGE(C45:C50)</f>
        <v>6306.0166666666664</v>
      </c>
      <c r="D51" s="21">
        <f>AVERAGE(D45:D50)</f>
        <v>1.2</v>
      </c>
      <c r="E51" s="21">
        <f>AVERAGE(E45:E50)</f>
        <v>4.2</v>
      </c>
    </row>
    <row r="52" spans="1:7" ht="16.5" customHeight="1" x14ac:dyDescent="0.3">
      <c r="A52" s="22" t="s">
        <v>19</v>
      </c>
      <c r="B52" s="23">
        <f>(STDEV(B45:B50)/B51)</f>
        <v>4.3802396649269488E-3</v>
      </c>
      <c r="C52" s="24"/>
      <c r="D52" s="24"/>
      <c r="E52" s="25"/>
      <c r="F52" s="2"/>
    </row>
    <row r="53" spans="1:7" s="2" customFormat="1" ht="16.5" customHeight="1" x14ac:dyDescent="0.3">
      <c r="A53" s="26" t="s">
        <v>20</v>
      </c>
      <c r="B53" s="27">
        <f>COUNT(B45:B50)</f>
        <v>6</v>
      </c>
      <c r="C53" s="28"/>
      <c r="D53" s="29"/>
      <c r="E53" s="30"/>
    </row>
    <row r="54" spans="1:7" s="2" customFormat="1" ht="15.75" customHeight="1" x14ac:dyDescent="0.25">
      <c r="A54" s="10"/>
      <c r="B54" s="10"/>
      <c r="C54" s="10"/>
      <c r="D54" s="10"/>
      <c r="E54" s="31"/>
    </row>
    <row r="55" spans="1:7" s="2" customFormat="1" ht="16.5" customHeight="1" x14ac:dyDescent="0.3">
      <c r="A55" s="11" t="s">
        <v>21</v>
      </c>
      <c r="B55" s="32" t="s">
        <v>22</v>
      </c>
      <c r="C55" s="33"/>
      <c r="D55" s="33"/>
      <c r="E55" s="34"/>
    </row>
    <row r="56" spans="1:7" ht="16.5" customHeight="1" x14ac:dyDescent="0.3">
      <c r="A56" s="11"/>
      <c r="B56" s="32" t="s">
        <v>23</v>
      </c>
      <c r="C56" s="33"/>
      <c r="D56" s="33"/>
      <c r="E56" s="34"/>
      <c r="F56" s="2"/>
    </row>
    <row r="57" spans="1:7" ht="16.5" customHeight="1" x14ac:dyDescent="0.3">
      <c r="A57" s="11"/>
      <c r="B57" s="35" t="s">
        <v>24</v>
      </c>
      <c r="C57" s="33"/>
      <c r="D57" s="34"/>
      <c r="E57" s="33"/>
    </row>
    <row r="58" spans="1:7" ht="14.25" customHeight="1" x14ac:dyDescent="0.25">
      <c r="A58" s="36"/>
      <c r="B58" s="37"/>
      <c r="D58" s="38"/>
      <c r="F58" s="39"/>
      <c r="G58" s="39"/>
    </row>
    <row r="59" spans="1:7" ht="15" customHeight="1" x14ac:dyDescent="0.3">
      <c r="B59" s="479" t="s">
        <v>26</v>
      </c>
      <c r="C59" s="479"/>
      <c r="E59" s="40" t="s">
        <v>27</v>
      </c>
      <c r="F59" s="41"/>
      <c r="G59" s="40" t="s">
        <v>28</v>
      </c>
    </row>
    <row r="60" spans="1:7" ht="15" customHeight="1" x14ac:dyDescent="0.3">
      <c r="A60" s="42" t="s">
        <v>29</v>
      </c>
      <c r="B60" s="471" t="s">
        <v>135</v>
      </c>
      <c r="C60" s="471" t="s">
        <v>136</v>
      </c>
      <c r="E60" s="43"/>
      <c r="F60" s="2"/>
      <c r="G60" s="44"/>
    </row>
    <row r="61" spans="1:7" ht="15" customHeight="1" x14ac:dyDescent="0.3">
      <c r="A61" s="42" t="s">
        <v>30</v>
      </c>
      <c r="B61" s="45"/>
      <c r="C61" s="45"/>
      <c r="E61" s="45"/>
      <c r="F61" s="2"/>
      <c r="G61" s="46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K39" sqref="K39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83" t="s">
        <v>31</v>
      </c>
      <c r="B11" s="484"/>
      <c r="C11" s="484"/>
      <c r="D11" s="484"/>
      <c r="E11" s="484"/>
      <c r="F11" s="485"/>
      <c r="G11" s="86"/>
    </row>
    <row r="12" spans="1:7" ht="16.5" customHeight="1" x14ac:dyDescent="0.3">
      <c r="A12" s="482" t="s">
        <v>32</v>
      </c>
      <c r="B12" s="482"/>
      <c r="C12" s="482"/>
      <c r="D12" s="482"/>
      <c r="E12" s="482"/>
      <c r="F12" s="482"/>
      <c r="G12" s="85"/>
    </row>
    <row r="14" spans="1:7" ht="16.5" customHeight="1" x14ac:dyDescent="0.3">
      <c r="A14" s="487" t="s">
        <v>33</v>
      </c>
      <c r="B14" s="487"/>
      <c r="C14" s="55" t="s">
        <v>5</v>
      </c>
    </row>
    <row r="15" spans="1:7" ht="16.5" customHeight="1" x14ac:dyDescent="0.3">
      <c r="A15" s="487" t="s">
        <v>34</v>
      </c>
      <c r="B15" s="487"/>
      <c r="C15" s="55" t="s">
        <v>7</v>
      </c>
    </row>
    <row r="16" spans="1:7" ht="16.5" customHeight="1" x14ac:dyDescent="0.3">
      <c r="A16" s="487" t="s">
        <v>35</v>
      </c>
      <c r="B16" s="487"/>
      <c r="C16" s="55" t="s">
        <v>9</v>
      </c>
    </row>
    <row r="17" spans="1:5" ht="16.5" customHeight="1" x14ac:dyDescent="0.3">
      <c r="A17" s="487" t="s">
        <v>36</v>
      </c>
      <c r="B17" s="487"/>
      <c r="C17" s="55" t="s">
        <v>11</v>
      </c>
    </row>
    <row r="18" spans="1:5" ht="16.5" customHeight="1" x14ac:dyDescent="0.3">
      <c r="A18" s="487" t="s">
        <v>37</v>
      </c>
      <c r="B18" s="487"/>
      <c r="C18" s="92" t="s">
        <v>12</v>
      </c>
    </row>
    <row r="19" spans="1:5" ht="16.5" customHeight="1" x14ac:dyDescent="0.3">
      <c r="A19" s="487" t="s">
        <v>38</v>
      </c>
      <c r="B19" s="487"/>
      <c r="C19" s="92" t="e">
        <f>#REF!</f>
        <v>#REF!</v>
      </c>
    </row>
    <row r="20" spans="1:5" ht="16.5" customHeight="1" x14ac:dyDescent="0.3">
      <c r="A20" s="57"/>
      <c r="B20" s="57"/>
      <c r="C20" s="72"/>
    </row>
    <row r="21" spans="1:5" ht="16.5" customHeight="1" x14ac:dyDescent="0.3">
      <c r="A21" s="482" t="s">
        <v>1</v>
      </c>
      <c r="B21" s="482"/>
      <c r="C21" s="54" t="s">
        <v>39</v>
      </c>
      <c r="D21" s="61"/>
    </row>
    <row r="22" spans="1:5" ht="15.75" customHeight="1" x14ac:dyDescent="0.3">
      <c r="A22" s="486"/>
      <c r="B22" s="486"/>
      <c r="C22" s="52"/>
      <c r="D22" s="486"/>
      <c r="E22" s="486"/>
    </row>
    <row r="23" spans="1:5" ht="33.75" customHeight="1" x14ac:dyDescent="0.3">
      <c r="C23" s="81" t="s">
        <v>40</v>
      </c>
      <c r="D23" s="80" t="s">
        <v>41</v>
      </c>
      <c r="E23" s="47"/>
    </row>
    <row r="24" spans="1:5" ht="15.75" customHeight="1" x14ac:dyDescent="0.3">
      <c r="C24" s="90">
        <v>1054.2</v>
      </c>
      <c r="D24" s="82">
        <f t="shared" ref="D24:D43" si="0">(C24-$C$46)/$C$46</f>
        <v>8.3739420180202941E-3</v>
      </c>
      <c r="E24" s="48"/>
    </row>
    <row r="25" spans="1:5" ht="15.75" customHeight="1" x14ac:dyDescent="0.3">
      <c r="C25" s="90">
        <v>1037.94</v>
      </c>
      <c r="D25" s="83">
        <f t="shared" si="0"/>
        <v>-7.1792360290419324E-3</v>
      </c>
      <c r="E25" s="48"/>
    </row>
    <row r="26" spans="1:5" ht="15.75" customHeight="1" x14ac:dyDescent="0.3">
      <c r="C26" s="90">
        <v>1036.08</v>
      </c>
      <c r="D26" s="83">
        <f t="shared" si="0"/>
        <v>-8.9583818573037866E-3</v>
      </c>
      <c r="E26" s="48"/>
    </row>
    <row r="27" spans="1:5" ht="15.75" customHeight="1" x14ac:dyDescent="0.3">
      <c r="C27" s="90">
        <v>1048.49</v>
      </c>
      <c r="D27" s="83">
        <f t="shared" si="0"/>
        <v>2.9121556312597823E-3</v>
      </c>
      <c r="E27" s="48"/>
    </row>
    <row r="28" spans="1:5" ht="15.75" customHeight="1" x14ac:dyDescent="0.3">
      <c r="C28" s="90">
        <v>1044.76</v>
      </c>
      <c r="D28" s="83">
        <f t="shared" si="0"/>
        <v>-6.557013254156434E-4</v>
      </c>
      <c r="E28" s="48"/>
    </row>
    <row r="29" spans="1:5" ht="15.75" customHeight="1" x14ac:dyDescent="0.3">
      <c r="C29" s="90">
        <v>1050.44</v>
      </c>
      <c r="D29" s="83">
        <f t="shared" si="0"/>
        <v>4.7773891608890607E-3</v>
      </c>
      <c r="E29" s="48"/>
    </row>
    <row r="30" spans="1:5" ht="15.75" customHeight="1" x14ac:dyDescent="0.3">
      <c r="C30" s="90">
        <v>1042.83</v>
      </c>
      <c r="D30" s="83">
        <f t="shared" si="0"/>
        <v>-2.5018042547410497E-3</v>
      </c>
      <c r="E30" s="48"/>
    </row>
    <row r="31" spans="1:5" ht="15.75" customHeight="1" x14ac:dyDescent="0.3">
      <c r="C31" s="90">
        <v>1046.97</v>
      </c>
      <c r="D31" s="83">
        <f t="shared" si="0"/>
        <v>1.4582300081641909E-3</v>
      </c>
      <c r="E31" s="48"/>
    </row>
    <row r="32" spans="1:5" ht="15.75" customHeight="1" x14ac:dyDescent="0.3">
      <c r="C32" s="90">
        <v>1036.24</v>
      </c>
      <c r="D32" s="83">
        <f t="shared" si="0"/>
        <v>-8.8053370548725907E-3</v>
      </c>
      <c r="E32" s="48"/>
    </row>
    <row r="33" spans="1:7" ht="15.75" customHeight="1" x14ac:dyDescent="0.3">
      <c r="C33" s="90">
        <v>1048.6199999999999</v>
      </c>
      <c r="D33" s="83">
        <f t="shared" si="0"/>
        <v>3.0365045332349516E-3</v>
      </c>
      <c r="E33" s="48"/>
    </row>
    <row r="34" spans="1:7" ht="15.75" customHeight="1" x14ac:dyDescent="0.3">
      <c r="C34" s="90">
        <v>1041.23</v>
      </c>
      <c r="D34" s="83">
        <f t="shared" si="0"/>
        <v>-4.0322522790521296E-3</v>
      </c>
      <c r="E34" s="48"/>
    </row>
    <row r="35" spans="1:7" ht="15.75" customHeight="1" x14ac:dyDescent="0.3">
      <c r="C35" s="90">
        <v>1044.83</v>
      </c>
      <c r="D35" s="83">
        <f t="shared" si="0"/>
        <v>-5.8874422435209071E-4</v>
      </c>
      <c r="E35" s="48"/>
    </row>
    <row r="36" spans="1:7" ht="15.75" customHeight="1" x14ac:dyDescent="0.3">
      <c r="C36" s="90">
        <v>1048.83</v>
      </c>
      <c r="D36" s="83">
        <f t="shared" si="0"/>
        <v>3.2373758364258273E-3</v>
      </c>
      <c r="E36" s="48"/>
    </row>
    <row r="37" spans="1:7" ht="15.75" customHeight="1" x14ac:dyDescent="0.3">
      <c r="C37" s="90">
        <v>1048.08</v>
      </c>
      <c r="D37" s="83">
        <f t="shared" si="0"/>
        <v>2.5199783250299673E-3</v>
      </c>
      <c r="E37" s="48"/>
    </row>
    <row r="38" spans="1:7" ht="15.75" customHeight="1" x14ac:dyDescent="0.3">
      <c r="C38" s="90">
        <v>1045.93</v>
      </c>
      <c r="D38" s="83">
        <f t="shared" si="0"/>
        <v>4.6343879236196715E-4</v>
      </c>
      <c r="E38" s="48"/>
    </row>
    <row r="39" spans="1:7" ht="15.75" customHeight="1" x14ac:dyDescent="0.3">
      <c r="C39" s="90">
        <v>1046.68</v>
      </c>
      <c r="D39" s="83">
        <f t="shared" si="0"/>
        <v>1.1808363037578268E-3</v>
      </c>
      <c r="E39" s="48"/>
    </row>
    <row r="40" spans="1:7" ht="15.75" customHeight="1" x14ac:dyDescent="0.3">
      <c r="C40" s="90">
        <v>1040.33</v>
      </c>
      <c r="D40" s="83">
        <f t="shared" si="0"/>
        <v>-4.8931292927272482E-3</v>
      </c>
      <c r="E40" s="48"/>
    </row>
    <row r="41" spans="1:7" ht="15.75" customHeight="1" x14ac:dyDescent="0.3">
      <c r="C41" s="90">
        <v>1054.9000000000001</v>
      </c>
      <c r="D41" s="83">
        <f t="shared" si="0"/>
        <v>9.0435130286564743E-3</v>
      </c>
      <c r="E41" s="48"/>
    </row>
    <row r="42" spans="1:7" ht="15.75" customHeight="1" x14ac:dyDescent="0.3">
      <c r="C42" s="90">
        <v>1050.6400000000001</v>
      </c>
      <c r="D42" s="83">
        <f t="shared" si="0"/>
        <v>4.968695163928E-3</v>
      </c>
      <c r="E42" s="48"/>
    </row>
    <row r="43" spans="1:7" ht="16.5" customHeight="1" x14ac:dyDescent="0.3">
      <c r="C43" s="91">
        <v>1040.8900000000001</v>
      </c>
      <c r="D43" s="84">
        <f t="shared" si="0"/>
        <v>-4.3574724842181745E-3</v>
      </c>
      <c r="E43" s="48"/>
    </row>
    <row r="44" spans="1:7" ht="16.5" customHeight="1" x14ac:dyDescent="0.3">
      <c r="C44" s="49"/>
      <c r="D44" s="48"/>
      <c r="E44" s="50"/>
    </row>
    <row r="45" spans="1:7" ht="16.5" customHeight="1" x14ac:dyDescent="0.3">
      <c r="B45" s="77" t="s">
        <v>42</v>
      </c>
      <c r="C45" s="78">
        <f>SUM(C24:C44)</f>
        <v>20908.909999999996</v>
      </c>
      <c r="D45" s="73"/>
      <c r="E45" s="49"/>
    </row>
    <row r="46" spans="1:7" ht="17.25" customHeight="1" x14ac:dyDescent="0.3">
      <c r="B46" s="77" t="s">
        <v>43</v>
      </c>
      <c r="C46" s="79">
        <f>AVERAGE(C24:C44)</f>
        <v>1045.4454999999998</v>
      </c>
      <c r="E46" s="51"/>
    </row>
    <row r="47" spans="1:7" ht="17.25" customHeight="1" x14ac:dyDescent="0.3">
      <c r="A47" s="55"/>
      <c r="B47" s="74"/>
      <c r="D47" s="53"/>
      <c r="E47" s="51"/>
    </row>
    <row r="48" spans="1:7" ht="33.75" customHeight="1" x14ac:dyDescent="0.3">
      <c r="B48" s="87" t="s">
        <v>43</v>
      </c>
      <c r="C48" s="80" t="s">
        <v>44</v>
      </c>
      <c r="D48" s="75"/>
      <c r="G48" s="53"/>
    </row>
    <row r="49" spans="1:6" ht="17.25" customHeight="1" x14ac:dyDescent="0.3">
      <c r="B49" s="480">
        <f>C46</f>
        <v>1045.4454999999998</v>
      </c>
      <c r="C49" s="88">
        <f>-IF(C46&lt;=80,10%,IF(C46&lt;250,7.5%,5%))</f>
        <v>-0.05</v>
      </c>
      <c r="D49" s="76">
        <f>IF(C46&lt;=80,C46*0.9,IF(C46&lt;250,C46*0.925,C46*0.95))</f>
        <v>993.17322499999977</v>
      </c>
    </row>
    <row r="50" spans="1:6" ht="17.25" customHeight="1" x14ac:dyDescent="0.3">
      <c r="B50" s="481"/>
      <c r="C50" s="89">
        <f>IF(C46&lt;=80, 10%, IF(C46&lt;250, 7.5%, 5%))</f>
        <v>0.05</v>
      </c>
      <c r="D50" s="76">
        <f>IF(C46&lt;=80, C46*1.1, IF(C46&lt;250, C46*1.075, C46*1.05))</f>
        <v>1097.7177749999998</v>
      </c>
    </row>
    <row r="51" spans="1:6" ht="16.5" customHeight="1" x14ac:dyDescent="0.3">
      <c r="A51" s="58"/>
      <c r="B51" s="59"/>
      <c r="C51" s="55"/>
      <c r="D51" s="60"/>
      <c r="E51" s="55"/>
      <c r="F51" s="61"/>
    </row>
    <row r="52" spans="1:6" ht="16.5" customHeight="1" x14ac:dyDescent="0.3">
      <c r="A52" s="55"/>
      <c r="B52" s="62" t="s">
        <v>26</v>
      </c>
      <c r="C52" s="62"/>
      <c r="D52" s="63" t="s">
        <v>27</v>
      </c>
      <c r="E52" s="64"/>
      <c r="F52" s="63" t="s">
        <v>28</v>
      </c>
    </row>
    <row r="53" spans="1:6" ht="34.5" customHeight="1" x14ac:dyDescent="0.3">
      <c r="A53" s="65" t="s">
        <v>29</v>
      </c>
      <c r="B53" s="66"/>
      <c r="C53" s="67"/>
      <c r="D53" s="66"/>
      <c r="E53" s="56"/>
      <c r="F53" s="68"/>
    </row>
    <row r="54" spans="1:6" ht="34.5" customHeight="1" x14ac:dyDescent="0.3">
      <c r="A54" s="65" t="s">
        <v>30</v>
      </c>
      <c r="B54" s="69"/>
      <c r="C54" s="70"/>
      <c r="D54" s="69"/>
      <c r="E54" s="56"/>
      <c r="F54" s="71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2" zoomScale="48" zoomScaleNormal="40" zoomScalePageLayoutView="48" workbookViewId="0">
      <selection activeCell="E133" sqref="E13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0" t="s">
        <v>45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25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25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25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25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25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25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25">
      <c r="A8" s="521" t="s">
        <v>46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25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25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25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25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25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25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x14ac:dyDescent="0.3">
      <c r="A15" s="93"/>
    </row>
    <row r="16" spans="1:9" ht="19.5" customHeight="1" x14ac:dyDescent="0.3">
      <c r="A16" s="492" t="s">
        <v>31</v>
      </c>
      <c r="B16" s="493"/>
      <c r="C16" s="493"/>
      <c r="D16" s="493"/>
      <c r="E16" s="493"/>
      <c r="F16" s="493"/>
      <c r="G16" s="493"/>
      <c r="H16" s="494"/>
    </row>
    <row r="17" spans="1:14" ht="20.25" customHeight="1" x14ac:dyDescent="0.25">
      <c r="A17" s="495" t="s">
        <v>47</v>
      </c>
      <c r="B17" s="495"/>
      <c r="C17" s="495"/>
      <c r="D17" s="495"/>
      <c r="E17" s="495"/>
      <c r="F17" s="495"/>
      <c r="G17" s="495"/>
      <c r="H17" s="495"/>
    </row>
    <row r="18" spans="1:14" ht="26.25" customHeight="1" x14ac:dyDescent="0.4">
      <c r="A18" s="95" t="s">
        <v>33</v>
      </c>
      <c r="B18" s="491" t="s">
        <v>5</v>
      </c>
      <c r="C18" s="491"/>
      <c r="D18" s="240"/>
      <c r="E18" s="96"/>
      <c r="F18" s="97"/>
      <c r="G18" s="97"/>
      <c r="H18" s="97"/>
    </row>
    <row r="19" spans="1:14" ht="26.25" customHeight="1" x14ac:dyDescent="0.4">
      <c r="A19" s="95" t="s">
        <v>34</v>
      </c>
      <c r="B19" s="98" t="s">
        <v>7</v>
      </c>
      <c r="C19" s="249">
        <v>1</v>
      </c>
      <c r="D19" s="97"/>
      <c r="E19" s="97"/>
      <c r="F19" s="97"/>
      <c r="G19" s="97"/>
      <c r="H19" s="97"/>
    </row>
    <row r="20" spans="1:14" ht="26.25" customHeight="1" x14ac:dyDescent="0.4">
      <c r="A20" s="95" t="s">
        <v>35</v>
      </c>
      <c r="B20" s="496" t="s">
        <v>9</v>
      </c>
      <c r="C20" s="496"/>
      <c r="D20" s="97"/>
      <c r="E20" s="97"/>
      <c r="F20" s="97"/>
      <c r="G20" s="97"/>
      <c r="H20" s="97"/>
    </row>
    <row r="21" spans="1:14" ht="26.25" customHeight="1" x14ac:dyDescent="0.4">
      <c r="A21" s="95" t="s">
        <v>36</v>
      </c>
      <c r="B21" s="496" t="s">
        <v>11</v>
      </c>
      <c r="C21" s="496"/>
      <c r="D21" s="496"/>
      <c r="E21" s="496"/>
      <c r="F21" s="496"/>
      <c r="G21" s="496"/>
      <c r="H21" s="496"/>
      <c r="I21" s="99"/>
    </row>
    <row r="22" spans="1:14" ht="26.25" customHeight="1" x14ac:dyDescent="0.4">
      <c r="A22" s="95" t="s">
        <v>37</v>
      </c>
      <c r="B22" s="100" t="s">
        <v>12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5" t="s">
        <v>38</v>
      </c>
      <c r="B23" s="100"/>
      <c r="C23" s="97"/>
      <c r="D23" s="97"/>
      <c r="E23" s="97"/>
      <c r="F23" s="97"/>
      <c r="G23" s="97"/>
      <c r="H23" s="97"/>
    </row>
    <row r="24" spans="1:14" ht="18.75" x14ac:dyDescent="0.3">
      <c r="A24" s="95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490" t="s">
        <v>131</v>
      </c>
      <c r="C26" s="491"/>
    </row>
    <row r="27" spans="1:14" ht="26.25" customHeight="1" x14ac:dyDescent="0.4">
      <c r="A27" s="104" t="s">
        <v>48</v>
      </c>
      <c r="B27" s="497" t="s">
        <v>137</v>
      </c>
      <c r="C27" s="498"/>
    </row>
    <row r="28" spans="1:14" ht="27" customHeight="1" x14ac:dyDescent="0.4">
      <c r="A28" s="104" t="s">
        <v>6</v>
      </c>
      <c r="B28" s="105">
        <v>99.02</v>
      </c>
    </row>
    <row r="29" spans="1:14" s="14" customFormat="1" ht="27" customHeight="1" x14ac:dyDescent="0.4">
      <c r="A29" s="104" t="s">
        <v>49</v>
      </c>
      <c r="B29" s="106">
        <v>0</v>
      </c>
      <c r="C29" s="499" t="s">
        <v>50</v>
      </c>
      <c r="D29" s="500"/>
      <c r="E29" s="500"/>
      <c r="F29" s="500"/>
      <c r="G29" s="501"/>
      <c r="I29" s="107"/>
      <c r="J29" s="107"/>
      <c r="K29" s="107"/>
      <c r="L29" s="107"/>
    </row>
    <row r="30" spans="1:14" s="14" customFormat="1" ht="19.5" customHeight="1" x14ac:dyDescent="0.3">
      <c r="A30" s="104" t="s">
        <v>51</v>
      </c>
      <c r="B30" s="108">
        <f>B28-B29</f>
        <v>99.02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14" customFormat="1" ht="27" customHeight="1" x14ac:dyDescent="0.4">
      <c r="A31" s="104" t="s">
        <v>52</v>
      </c>
      <c r="B31" s="111">
        <v>1</v>
      </c>
      <c r="C31" s="502" t="s">
        <v>53</v>
      </c>
      <c r="D31" s="503"/>
      <c r="E31" s="503"/>
      <c r="F31" s="503"/>
      <c r="G31" s="503"/>
      <c r="H31" s="504"/>
      <c r="I31" s="107"/>
      <c r="J31" s="107"/>
      <c r="K31" s="107"/>
      <c r="L31" s="107"/>
    </row>
    <row r="32" spans="1:14" s="14" customFormat="1" ht="27" customHeight="1" x14ac:dyDescent="0.4">
      <c r="A32" s="104" t="s">
        <v>54</v>
      </c>
      <c r="B32" s="111">
        <v>1</v>
      </c>
      <c r="C32" s="502" t="s">
        <v>55</v>
      </c>
      <c r="D32" s="503"/>
      <c r="E32" s="503"/>
      <c r="F32" s="503"/>
      <c r="G32" s="503"/>
      <c r="H32" s="504"/>
      <c r="I32" s="107"/>
      <c r="J32" s="107"/>
      <c r="K32" s="107"/>
      <c r="L32" s="112"/>
      <c r="M32" s="112"/>
      <c r="N32" s="113"/>
    </row>
    <row r="33" spans="1:14" s="14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14" customFormat="1" ht="18.75" x14ac:dyDescent="0.3">
      <c r="A34" s="104" t="s">
        <v>56</v>
      </c>
      <c r="B34" s="116">
        <f>B31/B32</f>
        <v>1</v>
      </c>
      <c r="C34" s="94" t="s">
        <v>57</v>
      </c>
      <c r="D34" s="94"/>
      <c r="E34" s="94"/>
      <c r="F34" s="94"/>
      <c r="G34" s="94"/>
      <c r="I34" s="107"/>
      <c r="J34" s="107"/>
      <c r="K34" s="107"/>
      <c r="L34" s="112"/>
      <c r="M34" s="112"/>
      <c r="N34" s="113"/>
    </row>
    <row r="35" spans="1:14" s="14" customFormat="1" ht="19.5" customHeight="1" x14ac:dyDescent="0.3">
      <c r="A35" s="104"/>
      <c r="B35" s="108"/>
      <c r="G35" s="94"/>
      <c r="I35" s="107"/>
      <c r="J35" s="107"/>
      <c r="K35" s="107"/>
      <c r="L35" s="112"/>
      <c r="M35" s="112"/>
      <c r="N35" s="113"/>
    </row>
    <row r="36" spans="1:14" s="14" customFormat="1" ht="27" customHeight="1" x14ac:dyDescent="0.4">
      <c r="A36" s="117" t="s">
        <v>58</v>
      </c>
      <c r="B36" s="118">
        <v>100</v>
      </c>
      <c r="C36" s="94"/>
      <c r="D36" s="505" t="s">
        <v>59</v>
      </c>
      <c r="E36" s="506"/>
      <c r="F36" s="505" t="s">
        <v>60</v>
      </c>
      <c r="G36" s="507"/>
      <c r="J36" s="107"/>
      <c r="K36" s="107"/>
      <c r="L36" s="112"/>
      <c r="M36" s="112"/>
      <c r="N36" s="113"/>
    </row>
    <row r="37" spans="1:14" s="14" customFormat="1" ht="27" customHeight="1" x14ac:dyDescent="0.4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14" customFormat="1" ht="26.25" customHeight="1" x14ac:dyDescent="0.4">
      <c r="A38" s="119" t="s">
        <v>66</v>
      </c>
      <c r="B38" s="120">
        <v>1</v>
      </c>
      <c r="C38" s="126">
        <v>1</v>
      </c>
      <c r="D38" s="477">
        <v>34201928</v>
      </c>
      <c r="E38" s="127">
        <f>IF(ISBLANK(D38),"-",$D$48/$D$45*D38)</f>
        <v>34432821.589269549</v>
      </c>
      <c r="F38" s="477">
        <v>36104831</v>
      </c>
      <c r="G38" s="128">
        <f>IF(ISBLANK(F38),"-",$D$48/$F$45*F38)</f>
        <v>34663966.88737987</v>
      </c>
      <c r="I38" s="129"/>
      <c r="J38" s="107"/>
      <c r="K38" s="107"/>
      <c r="L38" s="112"/>
      <c r="M38" s="112"/>
      <c r="N38" s="113"/>
    </row>
    <row r="39" spans="1:14" s="14" customFormat="1" ht="26.25" customHeight="1" x14ac:dyDescent="0.4">
      <c r="A39" s="119" t="s">
        <v>67</v>
      </c>
      <c r="B39" s="120">
        <v>1</v>
      </c>
      <c r="C39" s="130">
        <v>2</v>
      </c>
      <c r="D39" s="318">
        <v>34342570</v>
      </c>
      <c r="E39" s="132">
        <f>IF(ISBLANK(D39),"-",$D$48/$D$45*D39)</f>
        <v>34574413.04849834</v>
      </c>
      <c r="F39" s="318">
        <v>36255794</v>
      </c>
      <c r="G39" s="133">
        <f>IF(ISBLANK(F39),"-",$D$48/$F$45*F39)</f>
        <v>34808905.287263796</v>
      </c>
      <c r="I39" s="509">
        <f>ABS((F43/D43*D42)-F42)/D42</f>
        <v>6.5625808491388193E-3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0">
        <v>3</v>
      </c>
      <c r="D40" s="318">
        <v>34327670</v>
      </c>
      <c r="E40" s="132">
        <f>IF(ISBLANK(D40),"-",$D$48/$D$45*D40)</f>
        <v>34559412.460178286</v>
      </c>
      <c r="F40" s="318">
        <v>36186045</v>
      </c>
      <c r="G40" s="133">
        <f>IF(ISBLANK(F40),"-",$D$48/$F$45*F40)</f>
        <v>34741939.815899931</v>
      </c>
      <c r="I40" s="509"/>
      <c r="L40" s="112"/>
      <c r="M40" s="112"/>
      <c r="N40" s="134"/>
    </row>
    <row r="41" spans="1:14" ht="27" customHeight="1" x14ac:dyDescent="0.4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134"/>
    </row>
    <row r="42" spans="1:14" ht="27" customHeight="1" x14ac:dyDescent="0.4">
      <c r="A42" s="119" t="s">
        <v>70</v>
      </c>
      <c r="B42" s="120">
        <v>1</v>
      </c>
      <c r="C42" s="140" t="s">
        <v>71</v>
      </c>
      <c r="D42" s="141">
        <f>AVERAGE(D38:D41)</f>
        <v>34290722.666666664</v>
      </c>
      <c r="E42" s="142">
        <f>AVERAGE(E38:E41)</f>
        <v>34522215.699315391</v>
      </c>
      <c r="F42" s="141">
        <f>AVERAGE(F38:F41)</f>
        <v>36182223.333333336</v>
      </c>
      <c r="G42" s="143">
        <f>AVERAGE(G38:G41)</f>
        <v>34738270.663514532</v>
      </c>
      <c r="H42" s="144"/>
    </row>
    <row r="43" spans="1:14" ht="26.25" customHeight="1" x14ac:dyDescent="0.4">
      <c r="A43" s="119" t="s">
        <v>72</v>
      </c>
      <c r="B43" s="120">
        <v>1</v>
      </c>
      <c r="C43" s="145" t="s">
        <v>73</v>
      </c>
      <c r="D43" s="146">
        <v>16.05</v>
      </c>
      <c r="E43" s="134"/>
      <c r="F43" s="146">
        <v>16.829999999999998</v>
      </c>
      <c r="H43" s="144"/>
    </row>
    <row r="44" spans="1:14" ht="26.25" customHeight="1" x14ac:dyDescent="0.4">
      <c r="A44" s="119" t="s">
        <v>74</v>
      </c>
      <c r="B44" s="120">
        <v>1</v>
      </c>
      <c r="C44" s="147" t="s">
        <v>75</v>
      </c>
      <c r="D44" s="148">
        <f>D43*$B$34</f>
        <v>16.05</v>
      </c>
      <c r="E44" s="149"/>
      <c r="F44" s="148">
        <f>F43*$B$34</f>
        <v>16.829999999999998</v>
      </c>
      <c r="H44" s="144"/>
    </row>
    <row r="45" spans="1:14" ht="19.5" customHeight="1" x14ac:dyDescent="0.3">
      <c r="A45" s="119" t="s">
        <v>76</v>
      </c>
      <c r="B45" s="150">
        <f>(B44/B43)*(B42/B41)*(B40/B39)*(B38/B37)*B36</f>
        <v>100</v>
      </c>
      <c r="C45" s="147" t="s">
        <v>77</v>
      </c>
      <c r="D45" s="151">
        <f>D44*$B$30/100</f>
        <v>15.892709999999999</v>
      </c>
      <c r="E45" s="152"/>
      <c r="F45" s="151">
        <f>F44*$B$30/100</f>
        <v>16.665065999999996</v>
      </c>
      <c r="H45" s="144"/>
    </row>
    <row r="46" spans="1:14" ht="19.5" customHeight="1" x14ac:dyDescent="0.3">
      <c r="A46" s="510" t="s">
        <v>78</v>
      </c>
      <c r="B46" s="511"/>
      <c r="C46" s="147" t="s">
        <v>79</v>
      </c>
      <c r="D46" s="153">
        <f>D45/$B$45</f>
        <v>0.15892709999999999</v>
      </c>
      <c r="E46" s="154"/>
      <c r="F46" s="155">
        <f>F45/$B$45</f>
        <v>0.16665065999999995</v>
      </c>
      <c r="H46" s="144"/>
    </row>
    <row r="47" spans="1:14" ht="27" customHeight="1" x14ac:dyDescent="0.4">
      <c r="A47" s="512"/>
      <c r="B47" s="513"/>
      <c r="C47" s="156" t="s">
        <v>80</v>
      </c>
      <c r="D47" s="157">
        <v>0.16</v>
      </c>
      <c r="E47" s="158"/>
      <c r="F47" s="154"/>
      <c r="H47" s="144"/>
    </row>
    <row r="48" spans="1:14" ht="18.75" x14ac:dyDescent="0.3">
      <c r="C48" s="159" t="s">
        <v>81</v>
      </c>
      <c r="D48" s="151">
        <f>D47*$B$45</f>
        <v>16</v>
      </c>
      <c r="F48" s="160"/>
      <c r="H48" s="144"/>
    </row>
    <row r="49" spans="1:12" ht="19.5" customHeight="1" x14ac:dyDescent="0.3">
      <c r="C49" s="161" t="s">
        <v>82</v>
      </c>
      <c r="D49" s="162">
        <f>D48/B34</f>
        <v>16</v>
      </c>
      <c r="F49" s="160"/>
      <c r="H49" s="144"/>
    </row>
    <row r="50" spans="1:12" ht="18.75" x14ac:dyDescent="0.3">
      <c r="C50" s="117" t="s">
        <v>83</v>
      </c>
      <c r="D50" s="163">
        <f>AVERAGE(E38:E41,G38:G41)</f>
        <v>34630243.181414969</v>
      </c>
      <c r="F50" s="164"/>
      <c r="H50" s="144"/>
    </row>
    <row r="51" spans="1:12" ht="18.75" x14ac:dyDescent="0.3">
      <c r="C51" s="119" t="s">
        <v>84</v>
      </c>
      <c r="D51" s="165">
        <f>STDEV(E38:E41,G38:G41)/D50</f>
        <v>3.9306594676658787E-3</v>
      </c>
      <c r="F51" s="164"/>
      <c r="H51" s="144"/>
    </row>
    <row r="52" spans="1:12" ht="19.5" customHeight="1" x14ac:dyDescent="0.3">
      <c r="C52" s="166" t="s">
        <v>20</v>
      </c>
      <c r="D52" s="167">
        <f>COUNT(E38:E41,G38:G41)</f>
        <v>6</v>
      </c>
      <c r="F52" s="164"/>
    </row>
    <row r="54" spans="1:12" ht="18.75" x14ac:dyDescent="0.3">
      <c r="A54" s="168" t="s">
        <v>1</v>
      </c>
      <c r="B54" s="169" t="s">
        <v>85</v>
      </c>
    </row>
    <row r="55" spans="1:12" ht="18.75" x14ac:dyDescent="0.3">
      <c r="A55" s="94" t="s">
        <v>86</v>
      </c>
      <c r="B55" s="170" t="str">
        <f>B21</f>
        <v xml:space="preserve">Each tablet contains: Sulphamethoxazole BP 800 mg and Trimethoprim 
BP 160 mg.
</v>
      </c>
    </row>
    <row r="56" spans="1:12" ht="26.25" customHeight="1" x14ac:dyDescent="0.4">
      <c r="A56" s="171" t="s">
        <v>87</v>
      </c>
      <c r="B56" s="172">
        <v>800</v>
      </c>
      <c r="C56" s="94" t="str">
        <f>B20</f>
        <v>Sulfamethoxazole &amp; Trimethoprim</v>
      </c>
      <c r="H56" s="173"/>
    </row>
    <row r="57" spans="1:12" ht="18.75" x14ac:dyDescent="0.3">
      <c r="A57" s="170" t="s">
        <v>88</v>
      </c>
      <c r="B57" s="241">
        <f>Uniformity!C46</f>
        <v>1045.4454999999998</v>
      </c>
      <c r="H57" s="173"/>
    </row>
    <row r="58" spans="1:12" ht="19.5" customHeight="1" x14ac:dyDescent="0.3">
      <c r="H58" s="173"/>
    </row>
    <row r="59" spans="1:12" s="14" customFormat="1" ht="27" customHeight="1" thickBot="1" x14ac:dyDescent="0.45">
      <c r="A59" s="117" t="s">
        <v>89</v>
      </c>
      <c r="B59" s="118">
        <v>100</v>
      </c>
      <c r="C59" s="94"/>
      <c r="D59" s="174" t="s">
        <v>90</v>
      </c>
      <c r="E59" s="175" t="s">
        <v>62</v>
      </c>
      <c r="F59" s="175" t="s">
        <v>63</v>
      </c>
      <c r="G59" s="175" t="s">
        <v>91</v>
      </c>
      <c r="H59" s="121" t="s">
        <v>92</v>
      </c>
      <c r="L59" s="107"/>
    </row>
    <row r="60" spans="1:12" s="14" customFormat="1" ht="26.25" customHeight="1" x14ac:dyDescent="0.4">
      <c r="A60" s="119" t="s">
        <v>93</v>
      </c>
      <c r="B60" s="120">
        <v>2</v>
      </c>
      <c r="C60" s="514" t="s">
        <v>94</v>
      </c>
      <c r="D60" s="517">
        <v>1045.3499999999999</v>
      </c>
      <c r="E60" s="176">
        <v>1</v>
      </c>
      <c r="F60" s="177">
        <v>34121654</v>
      </c>
      <c r="G60" s="242">
        <f>IF(ISBLANK(F60),"-",(F60/$D$50*$D$47*$B$68)*($B$57/$D$60))</f>
        <v>788.3229943693658</v>
      </c>
      <c r="H60" s="260">
        <f t="shared" ref="H60:H71" si="0">IF(ISBLANK(F60),"-",(G60/$B$56)*100)</f>
        <v>98.540374296170725</v>
      </c>
      <c r="L60" s="107"/>
    </row>
    <row r="61" spans="1:12" s="14" customFormat="1" ht="26.25" customHeight="1" x14ac:dyDescent="0.4">
      <c r="A61" s="119" t="s">
        <v>95</v>
      </c>
      <c r="B61" s="120">
        <v>100</v>
      </c>
      <c r="C61" s="515"/>
      <c r="D61" s="518"/>
      <c r="E61" s="178">
        <v>2</v>
      </c>
      <c r="F61" s="131">
        <v>34193126</v>
      </c>
      <c r="G61" s="243">
        <f>IF(ISBLANK(F61),"-",(F61/$D$50*$D$47*$B$68)*($B$57/$D$60))</f>
        <v>789.97423381554188</v>
      </c>
      <c r="H61" s="261">
        <f t="shared" si="0"/>
        <v>98.746779226942735</v>
      </c>
      <c r="L61" s="107"/>
    </row>
    <row r="62" spans="1:12" s="14" customFormat="1" ht="26.25" customHeight="1" x14ac:dyDescent="0.4">
      <c r="A62" s="119" t="s">
        <v>96</v>
      </c>
      <c r="B62" s="120">
        <v>1</v>
      </c>
      <c r="C62" s="515"/>
      <c r="D62" s="518"/>
      <c r="E62" s="178">
        <v>3</v>
      </c>
      <c r="F62" s="179">
        <v>34196552</v>
      </c>
      <c r="G62" s="243">
        <f>IF(ISBLANK(F62),"-",(F62/$D$50*$D$47*$B$68)*($B$57/$D$60))</f>
        <v>790.05338573996801</v>
      </c>
      <c r="H62" s="261">
        <f t="shared" si="0"/>
        <v>98.756673217496001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516"/>
      <c r="D63" s="519"/>
      <c r="E63" s="180">
        <v>4</v>
      </c>
      <c r="F63" s="181"/>
      <c r="G63" s="243" t="str">
        <f>IF(ISBLANK(F63),"-",(F63/$D$50*$D$47*$B$68)*($B$57/$D$60))</f>
        <v>-</v>
      </c>
      <c r="H63" s="261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514" t="s">
        <v>99</v>
      </c>
      <c r="D64" s="517">
        <v>1038.44</v>
      </c>
      <c r="E64" s="176">
        <v>1</v>
      </c>
      <c r="F64" s="177">
        <v>34136221</v>
      </c>
      <c r="G64" s="242">
        <f>IF(ISBLANK(F64),"-",(F64/$D$50*$D$47*$B$68)*($B$57/$D$64))</f>
        <v>793.90744806500595</v>
      </c>
      <c r="H64" s="260">
        <f t="shared" si="0"/>
        <v>99.238431008125744</v>
      </c>
    </row>
    <row r="65" spans="1:8" ht="26.25" customHeight="1" x14ac:dyDescent="0.4">
      <c r="A65" s="119" t="s">
        <v>100</v>
      </c>
      <c r="B65" s="120">
        <v>1</v>
      </c>
      <c r="C65" s="515"/>
      <c r="D65" s="518"/>
      <c r="E65" s="178">
        <v>2</v>
      </c>
      <c r="F65" s="131">
        <v>33963946</v>
      </c>
      <c r="G65" s="243">
        <f>IF(ISBLANK(F65),"-",(F65/$D$50*$D$47*$B$68)*($B$57/$D$64))</f>
        <v>789.90084154533884</v>
      </c>
      <c r="H65" s="261">
        <f t="shared" si="0"/>
        <v>98.737605193167354</v>
      </c>
    </row>
    <row r="66" spans="1:8" ht="26.25" customHeight="1" x14ac:dyDescent="0.4">
      <c r="A66" s="119" t="s">
        <v>101</v>
      </c>
      <c r="B66" s="120">
        <v>1</v>
      </c>
      <c r="C66" s="515"/>
      <c r="D66" s="518"/>
      <c r="E66" s="178">
        <v>3</v>
      </c>
      <c r="F66" s="131">
        <v>34075816</v>
      </c>
      <c r="G66" s="243">
        <f>IF(ISBLANK(F66),"-",(F66/$D$50*$D$47*$B$68)*($B$57/$D$64))</f>
        <v>792.50260658005163</v>
      </c>
      <c r="H66" s="261">
        <f t="shared" si="0"/>
        <v>99.062825822506454</v>
      </c>
    </row>
    <row r="67" spans="1:8" ht="27" customHeight="1" thickBot="1" x14ac:dyDescent="0.45">
      <c r="A67" s="119" t="s">
        <v>102</v>
      </c>
      <c r="B67" s="120">
        <v>1</v>
      </c>
      <c r="C67" s="516"/>
      <c r="D67" s="519"/>
      <c r="E67" s="180">
        <v>4</v>
      </c>
      <c r="F67" s="181"/>
      <c r="G67" s="259" t="str">
        <f>IF(ISBLANK(F67),"-",(F67/$D$50*$D$47*$B$68)*($B$57/$D$64))</f>
        <v>-</v>
      </c>
      <c r="H67" s="262" t="str">
        <f t="shared" si="0"/>
        <v>-</v>
      </c>
    </row>
    <row r="68" spans="1:8" ht="26.25" customHeight="1" x14ac:dyDescent="0.4">
      <c r="A68" s="119" t="s">
        <v>103</v>
      </c>
      <c r="B68" s="182">
        <f>(B67/B66)*(B65/B64)*(B63/B62)*(B61/B60)*B59</f>
        <v>5000</v>
      </c>
      <c r="C68" s="514" t="s">
        <v>104</v>
      </c>
      <c r="D68" s="517">
        <v>1050.83</v>
      </c>
      <c r="E68" s="176">
        <v>1</v>
      </c>
      <c r="F68" s="177">
        <v>34269145</v>
      </c>
      <c r="G68" s="242">
        <f>IF(ISBLANK(F68),"-",(F68/$D$50*$D$47*$B$68)*($B$57/$D$68))</f>
        <v>787.60170841578065</v>
      </c>
      <c r="H68" s="261">
        <f t="shared" si="0"/>
        <v>98.450213551972581</v>
      </c>
    </row>
    <row r="69" spans="1:8" ht="27" customHeight="1" thickBot="1" x14ac:dyDescent="0.45">
      <c r="A69" s="166" t="s">
        <v>105</v>
      </c>
      <c r="B69" s="183">
        <f>(D47*B68)/B56*B57</f>
        <v>1045.4454999999998</v>
      </c>
      <c r="C69" s="515"/>
      <c r="D69" s="518"/>
      <c r="E69" s="178">
        <v>2</v>
      </c>
      <c r="F69" s="131">
        <v>34446043</v>
      </c>
      <c r="G69" s="243">
        <f>IF(ISBLANK(F69),"-",(F69/$D$50*$D$47*$B$68)*($B$57/$D$68))</f>
        <v>791.66732391378446</v>
      </c>
      <c r="H69" s="261">
        <f t="shared" si="0"/>
        <v>98.958415489223057</v>
      </c>
    </row>
    <row r="70" spans="1:8" ht="26.25" customHeight="1" x14ac:dyDescent="0.4">
      <c r="A70" s="527" t="s">
        <v>78</v>
      </c>
      <c r="B70" s="528"/>
      <c r="C70" s="515"/>
      <c r="D70" s="518"/>
      <c r="E70" s="178">
        <v>3</v>
      </c>
      <c r="F70" s="131">
        <v>34177231</v>
      </c>
      <c r="G70" s="243">
        <f>IF(ISBLANK(F70),"-",(F70/$D$50*$D$47*$B$68)*($B$57/$D$68))</f>
        <v>785.48926518361577</v>
      </c>
      <c r="H70" s="261">
        <f t="shared" si="0"/>
        <v>98.186158147951971</v>
      </c>
    </row>
    <row r="71" spans="1:8" ht="27" customHeight="1" thickBot="1" x14ac:dyDescent="0.45">
      <c r="A71" s="529"/>
      <c r="B71" s="530"/>
      <c r="C71" s="526"/>
      <c r="D71" s="519"/>
      <c r="E71" s="180">
        <v>4</v>
      </c>
      <c r="F71" s="181"/>
      <c r="G71" s="259" t="str">
        <f>IF(ISBLANK(F71),"-",(F71/$D$50*$D$47*$B$68)*($B$57/$D$68))</f>
        <v>-</v>
      </c>
      <c r="H71" s="262" t="str">
        <f t="shared" si="0"/>
        <v>-</v>
      </c>
    </row>
    <row r="72" spans="1:8" ht="26.25" customHeight="1" x14ac:dyDescent="0.4">
      <c r="A72" s="184"/>
      <c r="B72" s="184"/>
      <c r="C72" s="184"/>
      <c r="D72" s="184"/>
      <c r="E72" s="184"/>
      <c r="F72" s="186" t="s">
        <v>71</v>
      </c>
      <c r="G72" s="248">
        <f>AVERAGE(G60:G71)</f>
        <v>789.93553418093927</v>
      </c>
      <c r="H72" s="263">
        <f>AVERAGE(H60:H71)</f>
        <v>98.741941772617409</v>
      </c>
    </row>
    <row r="73" spans="1:8" ht="26.25" customHeight="1" x14ac:dyDescent="0.4">
      <c r="C73" s="184"/>
      <c r="D73" s="184"/>
      <c r="E73" s="184"/>
      <c r="F73" s="187" t="s">
        <v>84</v>
      </c>
      <c r="G73" s="247">
        <f>STDEV(G60:G71)/G72</f>
        <v>3.2644568663522519E-3</v>
      </c>
      <c r="H73" s="247">
        <f>STDEV(H60:H71)/H72</f>
        <v>3.2644568663522519E-3</v>
      </c>
    </row>
    <row r="74" spans="1:8" ht="27" customHeight="1" x14ac:dyDescent="0.4">
      <c r="A74" s="184"/>
      <c r="B74" s="184"/>
      <c r="C74" s="185"/>
      <c r="D74" s="185"/>
      <c r="E74" s="188"/>
      <c r="F74" s="189" t="s">
        <v>20</v>
      </c>
      <c r="G74" s="190">
        <f>COUNT(G60:G71)</f>
        <v>9</v>
      </c>
      <c r="H74" s="190">
        <f>COUNT(H60:H71)</f>
        <v>9</v>
      </c>
    </row>
    <row r="76" spans="1:8" ht="26.25" customHeight="1" x14ac:dyDescent="0.4">
      <c r="A76" s="103" t="s">
        <v>106</v>
      </c>
      <c r="B76" s="191" t="s">
        <v>107</v>
      </c>
      <c r="C76" s="522" t="str">
        <f>B26</f>
        <v>SULFAMETHOXAZOLE</v>
      </c>
      <c r="D76" s="522"/>
      <c r="E76" s="192" t="s">
        <v>108</v>
      </c>
      <c r="F76" s="192"/>
      <c r="G76" s="279">
        <f>H72</f>
        <v>98.741941772617409</v>
      </c>
      <c r="H76" s="194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508" t="str">
        <f>B26</f>
        <v>SULFAMETHOXAZOLE</v>
      </c>
      <c r="C79" s="508"/>
    </row>
    <row r="80" spans="1:8" ht="26.25" customHeight="1" x14ac:dyDescent="0.4">
      <c r="A80" s="104" t="s">
        <v>48</v>
      </c>
      <c r="B80" s="508" t="str">
        <f>B27</f>
        <v>S12-6</v>
      </c>
      <c r="C80" s="508"/>
    </row>
    <row r="81" spans="1:12" ht="27" customHeight="1" x14ac:dyDescent="0.4">
      <c r="A81" s="104" t="s">
        <v>6</v>
      </c>
      <c r="B81" s="195">
        <f>B28</f>
        <v>99.02</v>
      </c>
    </row>
    <row r="82" spans="1:12" s="14" customFormat="1" ht="27" customHeight="1" x14ac:dyDescent="0.4">
      <c r="A82" s="104" t="s">
        <v>49</v>
      </c>
      <c r="B82" s="106">
        <v>0</v>
      </c>
      <c r="C82" s="499" t="s">
        <v>50</v>
      </c>
      <c r="D82" s="500"/>
      <c r="E82" s="500"/>
      <c r="F82" s="500"/>
      <c r="G82" s="501"/>
      <c r="I82" s="107"/>
      <c r="J82" s="107"/>
      <c r="K82" s="107"/>
      <c r="L82" s="107"/>
    </row>
    <row r="83" spans="1:12" s="14" customFormat="1" ht="19.5" customHeight="1" x14ac:dyDescent="0.3">
      <c r="A83" s="104" t="s">
        <v>51</v>
      </c>
      <c r="B83" s="108">
        <f>B81-B82</f>
        <v>99.02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14" customFormat="1" ht="27" customHeight="1" x14ac:dyDescent="0.4">
      <c r="A84" s="104" t="s">
        <v>52</v>
      </c>
      <c r="B84" s="111">
        <v>1</v>
      </c>
      <c r="C84" s="502" t="s">
        <v>111</v>
      </c>
      <c r="D84" s="503"/>
      <c r="E84" s="503"/>
      <c r="F84" s="503"/>
      <c r="G84" s="503"/>
      <c r="H84" s="504"/>
      <c r="I84" s="107"/>
      <c r="J84" s="107"/>
      <c r="K84" s="107"/>
      <c r="L84" s="107"/>
    </row>
    <row r="85" spans="1:12" s="14" customFormat="1" ht="27" customHeight="1" x14ac:dyDescent="0.4">
      <c r="A85" s="104" t="s">
        <v>54</v>
      </c>
      <c r="B85" s="111">
        <v>1</v>
      </c>
      <c r="C85" s="502" t="s">
        <v>112</v>
      </c>
      <c r="D85" s="503"/>
      <c r="E85" s="503"/>
      <c r="F85" s="503"/>
      <c r="G85" s="503"/>
      <c r="H85" s="504"/>
      <c r="I85" s="107"/>
      <c r="J85" s="107"/>
      <c r="K85" s="107"/>
      <c r="L85" s="107"/>
    </row>
    <row r="86" spans="1:12" s="14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14" customFormat="1" ht="18.75" x14ac:dyDescent="0.3">
      <c r="A87" s="104" t="s">
        <v>56</v>
      </c>
      <c r="B87" s="116">
        <f>B84/B85</f>
        <v>1</v>
      </c>
      <c r="C87" s="94" t="s">
        <v>57</v>
      </c>
      <c r="D87" s="94"/>
      <c r="E87" s="94"/>
      <c r="F87" s="94"/>
      <c r="G87" s="94"/>
      <c r="I87" s="107"/>
      <c r="J87" s="107"/>
      <c r="K87" s="107"/>
      <c r="L87" s="107"/>
    </row>
    <row r="88" spans="1:12" ht="19.5" customHeight="1" x14ac:dyDescent="0.3">
      <c r="A88" s="102"/>
      <c r="B88" s="102"/>
    </row>
    <row r="89" spans="1:12" ht="27" customHeight="1" x14ac:dyDescent="0.4">
      <c r="A89" s="117" t="s">
        <v>58</v>
      </c>
      <c r="B89" s="118">
        <v>100</v>
      </c>
      <c r="D89" s="196" t="s">
        <v>59</v>
      </c>
      <c r="E89" s="197"/>
      <c r="F89" s="505" t="s">
        <v>60</v>
      </c>
      <c r="G89" s="507"/>
    </row>
    <row r="90" spans="1:12" ht="27" customHeight="1" x14ac:dyDescent="0.4">
      <c r="A90" s="119" t="s">
        <v>61</v>
      </c>
      <c r="B90" s="120">
        <v>1</v>
      </c>
      <c r="C90" s="198" t="s">
        <v>62</v>
      </c>
      <c r="D90" s="122" t="s">
        <v>63</v>
      </c>
      <c r="E90" s="123" t="s">
        <v>64</v>
      </c>
      <c r="F90" s="122" t="s">
        <v>63</v>
      </c>
      <c r="G90" s="199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1</v>
      </c>
      <c r="C91" s="200">
        <v>1</v>
      </c>
      <c r="D91" s="477">
        <v>34201928</v>
      </c>
      <c r="E91" s="127">
        <f>IF(ISBLANK(D91),"-",$D$101/$D$98*D91)</f>
        <v>38258690.654743947</v>
      </c>
      <c r="F91" s="477">
        <v>36104831</v>
      </c>
      <c r="G91" s="128">
        <f>IF(ISBLANK(F91),"-",$D$101/$F$98*F91)</f>
        <v>38515518.763755418</v>
      </c>
      <c r="I91" s="129"/>
    </row>
    <row r="92" spans="1:12" ht="26.25" customHeight="1" x14ac:dyDescent="0.4">
      <c r="A92" s="119" t="s">
        <v>67</v>
      </c>
      <c r="B92" s="120">
        <v>1</v>
      </c>
      <c r="C92" s="185">
        <v>2</v>
      </c>
      <c r="D92" s="318">
        <v>34342570</v>
      </c>
      <c r="E92" s="132">
        <f>IF(ISBLANK(D92),"-",$D$101/$D$98*D92)</f>
        <v>38416014.498331495</v>
      </c>
      <c r="F92" s="318">
        <v>36255794</v>
      </c>
      <c r="G92" s="133">
        <f>IF(ISBLANK(F92),"-",$D$101/$F$98*F92)</f>
        <v>38676561.430293106</v>
      </c>
      <c r="I92" s="509">
        <f>ABS((F96/D96*D95)-F95)/D95</f>
        <v>6.5625808491388193E-3</v>
      </c>
    </row>
    <row r="93" spans="1:12" ht="26.25" customHeight="1" x14ac:dyDescent="0.4">
      <c r="A93" s="119" t="s">
        <v>68</v>
      </c>
      <c r="B93" s="120">
        <v>1</v>
      </c>
      <c r="C93" s="185">
        <v>3</v>
      </c>
      <c r="D93" s="318">
        <v>34327670</v>
      </c>
      <c r="E93" s="132">
        <f>IF(ISBLANK(D93),"-",$D$101/$D$98*D93)</f>
        <v>38399347.177975878</v>
      </c>
      <c r="F93" s="318">
        <v>36186045</v>
      </c>
      <c r="G93" s="133">
        <f>IF(ISBLANK(F93),"-",$D$101/$F$98*F93)</f>
        <v>38602155.350999922</v>
      </c>
      <c r="I93" s="509"/>
    </row>
    <row r="94" spans="1:12" ht="27" customHeight="1" x14ac:dyDescent="0.4">
      <c r="A94" s="119" t="s">
        <v>69</v>
      </c>
      <c r="B94" s="120">
        <v>1</v>
      </c>
      <c r="C94" s="201">
        <v>4</v>
      </c>
      <c r="D94" s="136"/>
      <c r="E94" s="137" t="str">
        <f>IF(ISBLANK(D94),"-",$D$101/$D$98*D94)</f>
        <v>-</v>
      </c>
      <c r="F94" s="202"/>
      <c r="G94" s="138" t="str">
        <f>IF(ISBLANK(F94),"-",$D$101/$F$98*F94)</f>
        <v>-</v>
      </c>
      <c r="I94" s="139"/>
    </row>
    <row r="95" spans="1:12" ht="27" customHeight="1" x14ac:dyDescent="0.4">
      <c r="A95" s="119" t="s">
        <v>70</v>
      </c>
      <c r="B95" s="120">
        <v>1</v>
      </c>
      <c r="C95" s="203" t="s">
        <v>71</v>
      </c>
      <c r="D95" s="204">
        <f>AVERAGE(D91:D94)</f>
        <v>34290722.666666664</v>
      </c>
      <c r="E95" s="142">
        <f>AVERAGE(E91:E94)</f>
        <v>38358017.443683773</v>
      </c>
      <c r="F95" s="205">
        <f>AVERAGE(F91:F94)</f>
        <v>36182223.333333336</v>
      </c>
      <c r="G95" s="206">
        <f>AVERAGE(G91:G94)</f>
        <v>38598078.515016146</v>
      </c>
    </row>
    <row r="96" spans="1:12" ht="26.25" customHeight="1" x14ac:dyDescent="0.4">
      <c r="A96" s="119" t="s">
        <v>72</v>
      </c>
      <c r="B96" s="105">
        <v>1</v>
      </c>
      <c r="C96" s="207" t="s">
        <v>113</v>
      </c>
      <c r="D96" s="208">
        <v>16.05</v>
      </c>
      <c r="E96" s="134"/>
      <c r="F96" s="146">
        <v>16.829999999999998</v>
      </c>
    </row>
    <row r="97" spans="1:10" ht="26.25" customHeight="1" x14ac:dyDescent="0.4">
      <c r="A97" s="119" t="s">
        <v>74</v>
      </c>
      <c r="B97" s="105">
        <v>1</v>
      </c>
      <c r="C97" s="209" t="s">
        <v>114</v>
      </c>
      <c r="D97" s="210">
        <f>D96*$B$87</f>
        <v>16.05</v>
      </c>
      <c r="E97" s="149"/>
      <c r="F97" s="148">
        <f>F96*$B$87</f>
        <v>16.829999999999998</v>
      </c>
    </row>
    <row r="98" spans="1:10" ht="19.5" customHeight="1" x14ac:dyDescent="0.3">
      <c r="A98" s="119" t="s">
        <v>76</v>
      </c>
      <c r="B98" s="211">
        <f>(B97/B96)*(B95/B94)*(B93/B92)*(B91/B90)*B89</f>
        <v>100</v>
      </c>
      <c r="C98" s="209" t="s">
        <v>115</v>
      </c>
      <c r="D98" s="212">
        <f>D97*$B$83/100</f>
        <v>15.892709999999999</v>
      </c>
      <c r="E98" s="152"/>
      <c r="F98" s="151">
        <f>F97*$B$83/100</f>
        <v>16.665065999999996</v>
      </c>
    </row>
    <row r="99" spans="1:10" ht="19.5" customHeight="1" x14ac:dyDescent="0.3">
      <c r="A99" s="510" t="s">
        <v>78</v>
      </c>
      <c r="B99" s="524"/>
      <c r="C99" s="209" t="s">
        <v>116</v>
      </c>
      <c r="D99" s="213">
        <f>D98/$B$98</f>
        <v>0.15892709999999999</v>
      </c>
      <c r="E99" s="152"/>
      <c r="F99" s="155">
        <f>F98/$B$98</f>
        <v>0.16665065999999995</v>
      </c>
      <c r="G99" s="214"/>
      <c r="H99" s="144"/>
    </row>
    <row r="100" spans="1:10" ht="19.5" customHeight="1" x14ac:dyDescent="0.3">
      <c r="A100" s="512"/>
      <c r="B100" s="525"/>
      <c r="C100" s="209" t="s">
        <v>80</v>
      </c>
      <c r="D100" s="215">
        <f>$B$56/$B$116</f>
        <v>0.17777777777777778</v>
      </c>
      <c r="F100" s="160"/>
      <c r="G100" s="216"/>
      <c r="H100" s="144"/>
    </row>
    <row r="101" spans="1:10" ht="18.75" x14ac:dyDescent="0.3">
      <c r="C101" s="209" t="s">
        <v>81</v>
      </c>
      <c r="D101" s="210">
        <f>D100*$B$98</f>
        <v>17.777777777777779</v>
      </c>
      <c r="F101" s="160"/>
      <c r="G101" s="214"/>
      <c r="H101" s="144"/>
    </row>
    <row r="102" spans="1:10" ht="19.5" customHeight="1" x14ac:dyDescent="0.3">
      <c r="C102" s="217" t="s">
        <v>82</v>
      </c>
      <c r="D102" s="218">
        <f>D101/B34</f>
        <v>17.777777777777779</v>
      </c>
      <c r="F102" s="164"/>
      <c r="G102" s="214"/>
      <c r="H102" s="144"/>
      <c r="J102" s="219"/>
    </row>
    <row r="103" spans="1:10" ht="18.75" x14ac:dyDescent="0.3">
      <c r="C103" s="220" t="s">
        <v>117</v>
      </c>
      <c r="D103" s="221">
        <f>AVERAGE(E91:E94,G91:G94)</f>
        <v>38478047.979349963</v>
      </c>
      <c r="F103" s="164"/>
      <c r="G103" s="222"/>
      <c r="H103" s="144"/>
      <c r="J103" s="223"/>
    </row>
    <row r="104" spans="1:10" ht="18.75" x14ac:dyDescent="0.3">
      <c r="C104" s="187" t="s">
        <v>84</v>
      </c>
      <c r="D104" s="224">
        <f>STDEV(E91:E94,G91:G94)/D103</f>
        <v>3.9306594676658188E-3</v>
      </c>
      <c r="F104" s="164"/>
      <c r="G104" s="214"/>
      <c r="H104" s="144"/>
      <c r="J104" s="223"/>
    </row>
    <row r="105" spans="1:10" ht="19.5" customHeight="1" x14ac:dyDescent="0.3">
      <c r="C105" s="189" t="s">
        <v>20</v>
      </c>
      <c r="D105" s="225">
        <f>COUNT(E91:E94,G91:G94)</f>
        <v>6</v>
      </c>
      <c r="F105" s="164"/>
      <c r="G105" s="214"/>
      <c r="H105" s="144"/>
      <c r="J105" s="223"/>
    </row>
    <row r="106" spans="1:10" ht="19.5" customHeight="1" x14ac:dyDescent="0.3">
      <c r="A106" s="168"/>
      <c r="B106" s="168"/>
      <c r="C106" s="168"/>
      <c r="D106" s="168"/>
      <c r="E106" s="168"/>
    </row>
    <row r="107" spans="1:10" ht="27" customHeight="1" x14ac:dyDescent="0.4">
      <c r="A107" s="117" t="s">
        <v>118</v>
      </c>
      <c r="B107" s="118">
        <v>900</v>
      </c>
      <c r="C107" s="264" t="s">
        <v>119</v>
      </c>
      <c r="D107" s="264" t="s">
        <v>63</v>
      </c>
      <c r="E107" s="264" t="s">
        <v>120</v>
      </c>
      <c r="F107" s="226" t="s">
        <v>121</v>
      </c>
    </row>
    <row r="108" spans="1:10" ht="26.25" customHeight="1" x14ac:dyDescent="0.4">
      <c r="A108" s="119" t="s">
        <v>122</v>
      </c>
      <c r="B108" s="120">
        <v>10</v>
      </c>
      <c r="C108" s="269">
        <v>1</v>
      </c>
      <c r="D108" s="270">
        <v>36774087</v>
      </c>
      <c r="E108" s="244">
        <f t="shared" ref="E108:E113" si="1">IF(ISBLANK(D108),"-",D108/$D$103*$D$100*$B$116)</f>
        <v>764.57281865723701</v>
      </c>
      <c r="F108" s="271">
        <f t="shared" ref="F108:F113" si="2">IF(ISBLANK(D108), "-", (E108/$B$56)*100)</f>
        <v>95.571602332154626</v>
      </c>
    </row>
    <row r="109" spans="1:10" ht="26.25" customHeight="1" x14ac:dyDescent="0.4">
      <c r="A109" s="119" t="s">
        <v>95</v>
      </c>
      <c r="B109" s="120">
        <v>50</v>
      </c>
      <c r="C109" s="265">
        <v>2</v>
      </c>
      <c r="D109" s="267">
        <v>36437623</v>
      </c>
      <c r="E109" s="245">
        <f t="shared" si="1"/>
        <v>757.57737023572508</v>
      </c>
      <c r="F109" s="272">
        <f t="shared" si="2"/>
        <v>94.697171279465636</v>
      </c>
    </row>
    <row r="110" spans="1:10" ht="26.25" customHeight="1" x14ac:dyDescent="0.4">
      <c r="A110" s="119" t="s">
        <v>96</v>
      </c>
      <c r="B110" s="120">
        <v>1</v>
      </c>
      <c r="C110" s="265">
        <v>3</v>
      </c>
      <c r="D110" s="267">
        <v>36316112</v>
      </c>
      <c r="E110" s="245">
        <f t="shared" si="1"/>
        <v>755.0510258626382</v>
      </c>
      <c r="F110" s="272">
        <f t="shared" si="2"/>
        <v>94.381378232829775</v>
      </c>
    </row>
    <row r="111" spans="1:10" ht="26.25" customHeight="1" x14ac:dyDescent="0.4">
      <c r="A111" s="119" t="s">
        <v>97</v>
      </c>
      <c r="B111" s="120">
        <v>1</v>
      </c>
      <c r="C111" s="265">
        <v>4</v>
      </c>
      <c r="D111" s="267">
        <v>36838056</v>
      </c>
      <c r="E111" s="245">
        <f t="shared" si="1"/>
        <v>765.90280296484696</v>
      </c>
      <c r="F111" s="272">
        <f t="shared" si="2"/>
        <v>95.737850370605869</v>
      </c>
    </row>
    <row r="112" spans="1:10" ht="26.25" customHeight="1" x14ac:dyDescent="0.4">
      <c r="A112" s="119" t="s">
        <v>98</v>
      </c>
      <c r="B112" s="120">
        <v>1</v>
      </c>
      <c r="C112" s="265">
        <v>5</v>
      </c>
      <c r="D112" s="267">
        <v>36982790</v>
      </c>
      <c r="E112" s="245">
        <f t="shared" si="1"/>
        <v>768.91197848388936</v>
      </c>
      <c r="F112" s="272">
        <f t="shared" si="2"/>
        <v>96.11399731048617</v>
      </c>
    </row>
    <row r="113" spans="1:10" ht="27" customHeight="1" x14ac:dyDescent="0.4">
      <c r="A113" s="119" t="s">
        <v>100</v>
      </c>
      <c r="B113" s="120">
        <v>1</v>
      </c>
      <c r="C113" s="266">
        <v>6</v>
      </c>
      <c r="D113" s="268">
        <v>36786733</v>
      </c>
      <c r="E113" s="246">
        <f t="shared" si="1"/>
        <v>764.83574259780244</v>
      </c>
      <c r="F113" s="273">
        <f t="shared" si="2"/>
        <v>95.604467824725305</v>
      </c>
    </row>
    <row r="114" spans="1:10" ht="27" customHeight="1" x14ac:dyDescent="0.4">
      <c r="A114" s="119" t="s">
        <v>101</v>
      </c>
      <c r="B114" s="120">
        <v>1</v>
      </c>
      <c r="C114" s="227"/>
      <c r="D114" s="185"/>
      <c r="E114" s="93"/>
      <c r="F114" s="274"/>
    </row>
    <row r="115" spans="1:10" ht="26.25" customHeight="1" x14ac:dyDescent="0.4">
      <c r="A115" s="119" t="s">
        <v>102</v>
      </c>
      <c r="B115" s="120">
        <v>1</v>
      </c>
      <c r="C115" s="227"/>
      <c r="D115" s="251" t="s">
        <v>71</v>
      </c>
      <c r="E115" s="253">
        <f>AVERAGE(E108:E113)</f>
        <v>762.80862313368982</v>
      </c>
      <c r="F115" s="275">
        <f>AVERAGE(F108:F113)</f>
        <v>95.351077891711228</v>
      </c>
    </row>
    <row r="116" spans="1:10" ht="27" customHeight="1" x14ac:dyDescent="0.4">
      <c r="A116" s="119" t="s">
        <v>103</v>
      </c>
      <c r="B116" s="150">
        <f>(B115/B114)*(B113/B112)*(B111/B110)*(B109/B108)*B107</f>
        <v>4500</v>
      </c>
      <c r="C116" s="228"/>
      <c r="D116" s="252" t="s">
        <v>84</v>
      </c>
      <c r="E116" s="250">
        <f>STDEV(E108:E113)/E115</f>
        <v>6.9762175401402744E-3</v>
      </c>
      <c r="F116" s="229">
        <f>STDEV(F108:F113)/F115</f>
        <v>6.9762175401402744E-3</v>
      </c>
      <c r="I116" s="93"/>
    </row>
    <row r="117" spans="1:10" ht="27" customHeight="1" x14ac:dyDescent="0.4">
      <c r="A117" s="510" t="s">
        <v>78</v>
      </c>
      <c r="B117" s="511"/>
      <c r="C117" s="230"/>
      <c r="D117" s="189" t="s">
        <v>20</v>
      </c>
      <c r="E117" s="255">
        <f>COUNT(E108:E113)</f>
        <v>6</v>
      </c>
      <c r="F117" s="256">
        <f>COUNT(F108:F113)</f>
        <v>6</v>
      </c>
      <c r="I117" s="93"/>
      <c r="J117" s="223"/>
    </row>
    <row r="118" spans="1:10" ht="26.25" customHeight="1" x14ac:dyDescent="0.3">
      <c r="A118" s="512"/>
      <c r="B118" s="513"/>
      <c r="C118" s="93"/>
      <c r="D118" s="254"/>
      <c r="E118" s="488" t="s">
        <v>123</v>
      </c>
      <c r="F118" s="489"/>
      <c r="G118" s="93"/>
      <c r="H118" s="93"/>
      <c r="I118" s="93"/>
    </row>
    <row r="119" spans="1:10" ht="25.5" customHeight="1" x14ac:dyDescent="0.4">
      <c r="A119" s="239"/>
      <c r="B119" s="115"/>
      <c r="C119" s="93"/>
      <c r="D119" s="252" t="s">
        <v>124</v>
      </c>
      <c r="E119" s="257">
        <f>MIN(E108:E113)</f>
        <v>755.0510258626382</v>
      </c>
      <c r="F119" s="276">
        <f>MIN(F108:F113)</f>
        <v>94.381378232829775</v>
      </c>
      <c r="G119" s="93"/>
      <c r="H119" s="93"/>
      <c r="I119" s="93"/>
    </row>
    <row r="120" spans="1:10" ht="24" customHeight="1" x14ac:dyDescent="0.4">
      <c r="A120" s="239"/>
      <c r="B120" s="115"/>
      <c r="C120" s="93"/>
      <c r="D120" s="161" t="s">
        <v>125</v>
      </c>
      <c r="E120" s="258">
        <f>MAX(E108:E113)</f>
        <v>768.91197848388936</v>
      </c>
      <c r="F120" s="277">
        <f>MAX(F108:F113)</f>
        <v>96.11399731048617</v>
      </c>
      <c r="G120" s="93"/>
      <c r="H120" s="93"/>
      <c r="I120" s="93"/>
    </row>
    <row r="121" spans="1:10" ht="27" customHeight="1" x14ac:dyDescent="0.3">
      <c r="A121" s="239"/>
      <c r="B121" s="115"/>
      <c r="C121" s="93"/>
      <c r="D121" s="93"/>
      <c r="E121" s="93"/>
      <c r="F121" s="185"/>
      <c r="G121" s="93"/>
      <c r="H121" s="93"/>
      <c r="I121" s="93"/>
    </row>
    <row r="122" spans="1:10" ht="25.5" customHeight="1" x14ac:dyDescent="0.3">
      <c r="A122" s="239"/>
      <c r="B122" s="115"/>
      <c r="C122" s="93"/>
      <c r="D122" s="93"/>
      <c r="E122" s="93"/>
      <c r="F122" s="185"/>
      <c r="G122" s="93"/>
      <c r="H122" s="93"/>
      <c r="I122" s="93"/>
    </row>
    <row r="123" spans="1:10" ht="18.75" x14ac:dyDescent="0.3">
      <c r="A123" s="239"/>
      <c r="B123" s="115"/>
      <c r="C123" s="93"/>
      <c r="D123" s="93"/>
      <c r="E123" s="93"/>
      <c r="F123" s="185"/>
      <c r="G123" s="93"/>
      <c r="H123" s="93"/>
      <c r="I123" s="93"/>
    </row>
    <row r="124" spans="1:10" ht="45.75" customHeight="1" x14ac:dyDescent="0.65">
      <c r="A124" s="103" t="s">
        <v>106</v>
      </c>
      <c r="B124" s="191" t="s">
        <v>126</v>
      </c>
      <c r="C124" s="522" t="str">
        <f>B26</f>
        <v>SULFAMETHOXAZOLE</v>
      </c>
      <c r="D124" s="522"/>
      <c r="E124" s="192" t="s">
        <v>127</v>
      </c>
      <c r="F124" s="192"/>
      <c r="G124" s="278">
        <f>F115</f>
        <v>95.351077891711228</v>
      </c>
      <c r="H124" s="93"/>
      <c r="I124" s="93"/>
    </row>
    <row r="125" spans="1:10" ht="45.75" customHeight="1" x14ac:dyDescent="0.65">
      <c r="A125" s="103"/>
      <c r="B125" s="191" t="s">
        <v>128</v>
      </c>
      <c r="C125" s="104" t="s">
        <v>129</v>
      </c>
      <c r="D125" s="278">
        <f>MIN(F108:F113)</f>
        <v>94.381378232829775</v>
      </c>
      <c r="E125" s="203" t="s">
        <v>130</v>
      </c>
      <c r="F125" s="278">
        <f>MAX(F108:F113)</f>
        <v>96.11399731048617</v>
      </c>
      <c r="G125" s="193"/>
      <c r="H125" s="93"/>
      <c r="I125" s="93"/>
    </row>
    <row r="126" spans="1:10" ht="19.5" customHeight="1" x14ac:dyDescent="0.3">
      <c r="A126" s="231"/>
      <c r="B126" s="231"/>
      <c r="C126" s="232"/>
      <c r="D126" s="232"/>
      <c r="E126" s="232"/>
      <c r="F126" s="232"/>
      <c r="G126" s="232"/>
      <c r="H126" s="232"/>
    </row>
    <row r="127" spans="1:10" ht="18.75" x14ac:dyDescent="0.3">
      <c r="B127" s="523" t="s">
        <v>26</v>
      </c>
      <c r="C127" s="523"/>
      <c r="E127" s="198" t="s">
        <v>27</v>
      </c>
      <c r="F127" s="233"/>
      <c r="G127" s="523" t="s">
        <v>28</v>
      </c>
      <c r="H127" s="523"/>
    </row>
    <row r="128" spans="1:10" ht="69.95" customHeight="1" x14ac:dyDescent="0.3">
      <c r="A128" s="234" t="s">
        <v>29</v>
      </c>
      <c r="B128" s="235"/>
      <c r="C128" s="235"/>
      <c r="E128" s="235"/>
      <c r="F128" s="93"/>
      <c r="G128" s="236"/>
      <c r="H128" s="236"/>
    </row>
    <row r="129" spans="1:9" ht="69.95" customHeight="1" x14ac:dyDescent="0.3">
      <c r="A129" s="234" t="s">
        <v>30</v>
      </c>
      <c r="B129" s="237"/>
      <c r="C129" s="237"/>
      <c r="E129" s="237"/>
      <c r="F129" s="93"/>
      <c r="G129" s="238"/>
      <c r="H129" s="238"/>
    </row>
    <row r="130" spans="1:9" ht="18.75" x14ac:dyDescent="0.3">
      <c r="A130" s="184"/>
      <c r="B130" s="184"/>
      <c r="C130" s="185"/>
      <c r="D130" s="185"/>
      <c r="E130" s="185"/>
      <c r="F130" s="188"/>
      <c r="G130" s="185"/>
      <c r="H130" s="185"/>
      <c r="I130" s="93"/>
    </row>
    <row r="131" spans="1:9" ht="18.75" x14ac:dyDescent="0.3">
      <c r="A131" s="184"/>
      <c r="B131" s="184"/>
      <c r="C131" s="185"/>
      <c r="D131" s="185"/>
      <c r="E131" s="185"/>
      <c r="F131" s="188"/>
      <c r="G131" s="185"/>
      <c r="H131" s="185"/>
      <c r="I131" s="93"/>
    </row>
    <row r="132" spans="1:9" ht="18.75" x14ac:dyDescent="0.3">
      <c r="A132" s="184"/>
      <c r="B132" s="184"/>
      <c r="C132" s="185"/>
      <c r="D132" s="185"/>
      <c r="E132" s="185"/>
      <c r="F132" s="188"/>
      <c r="G132" s="185"/>
      <c r="H132" s="185"/>
      <c r="I132" s="93"/>
    </row>
    <row r="133" spans="1:9" ht="18.75" x14ac:dyDescent="0.3">
      <c r="A133" s="184"/>
      <c r="B133" s="184"/>
      <c r="C133" s="185"/>
      <c r="D133" s="185"/>
      <c r="E133" s="185"/>
      <c r="F133" s="188"/>
      <c r="G133" s="185"/>
      <c r="H133" s="185"/>
      <c r="I133" s="93"/>
    </row>
    <row r="134" spans="1:9" ht="18.75" x14ac:dyDescent="0.3">
      <c r="A134" s="184"/>
      <c r="B134" s="184"/>
      <c r="C134" s="185"/>
      <c r="D134" s="185"/>
      <c r="E134" s="185"/>
      <c r="F134" s="188"/>
      <c r="G134" s="185"/>
      <c r="H134" s="185"/>
      <c r="I134" s="93"/>
    </row>
    <row r="135" spans="1:9" ht="18.75" x14ac:dyDescent="0.3">
      <c r="A135" s="184"/>
      <c r="B135" s="184"/>
      <c r="C135" s="185"/>
      <c r="D135" s="185"/>
      <c r="E135" s="185"/>
      <c r="F135" s="188"/>
      <c r="G135" s="185"/>
      <c r="H135" s="185"/>
      <c r="I135" s="93"/>
    </row>
    <row r="136" spans="1:9" ht="18.75" x14ac:dyDescent="0.3">
      <c r="A136" s="184"/>
      <c r="B136" s="184"/>
      <c r="C136" s="185"/>
      <c r="D136" s="185"/>
      <c r="E136" s="185"/>
      <c r="F136" s="188"/>
      <c r="G136" s="185"/>
      <c r="H136" s="185"/>
      <c r="I136" s="93"/>
    </row>
    <row r="137" spans="1:9" ht="18.75" x14ac:dyDescent="0.3">
      <c r="A137" s="184"/>
      <c r="B137" s="184"/>
      <c r="C137" s="185"/>
      <c r="D137" s="185"/>
      <c r="E137" s="185"/>
      <c r="F137" s="188"/>
      <c r="G137" s="185"/>
      <c r="H137" s="185"/>
      <c r="I137" s="93"/>
    </row>
    <row r="138" spans="1:9" ht="18.75" x14ac:dyDescent="0.3">
      <c r="A138" s="184"/>
      <c r="B138" s="184"/>
      <c r="C138" s="185"/>
      <c r="D138" s="185"/>
      <c r="E138" s="185"/>
      <c r="F138" s="188"/>
      <c r="G138" s="185"/>
      <c r="H138" s="185"/>
      <c r="I138" s="93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10" zoomScale="48" zoomScaleNormal="40" zoomScalePageLayoutView="48" workbookViewId="0">
      <selection activeCell="C144" sqref="C143:C14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0" t="s">
        <v>45</v>
      </c>
      <c r="B1" s="520"/>
      <c r="C1" s="520"/>
      <c r="D1" s="520"/>
      <c r="E1" s="520"/>
      <c r="F1" s="520"/>
      <c r="G1" s="520"/>
      <c r="H1" s="520"/>
      <c r="I1" s="520"/>
    </row>
    <row r="2" spans="1:9" ht="18.75" customHeight="1" x14ac:dyDescent="0.25">
      <c r="A2" s="520"/>
      <c r="B2" s="520"/>
      <c r="C2" s="520"/>
      <c r="D2" s="520"/>
      <c r="E2" s="520"/>
      <c r="F2" s="520"/>
      <c r="G2" s="520"/>
      <c r="H2" s="520"/>
      <c r="I2" s="520"/>
    </row>
    <row r="3" spans="1:9" ht="18.75" customHeight="1" x14ac:dyDescent="0.25">
      <c r="A3" s="520"/>
      <c r="B3" s="520"/>
      <c r="C3" s="520"/>
      <c r="D3" s="520"/>
      <c r="E3" s="520"/>
      <c r="F3" s="520"/>
      <c r="G3" s="520"/>
      <c r="H3" s="520"/>
      <c r="I3" s="520"/>
    </row>
    <row r="4" spans="1:9" ht="18.75" customHeight="1" x14ac:dyDescent="0.25">
      <c r="A4" s="520"/>
      <c r="B4" s="520"/>
      <c r="C4" s="520"/>
      <c r="D4" s="520"/>
      <c r="E4" s="520"/>
      <c r="F4" s="520"/>
      <c r="G4" s="520"/>
      <c r="H4" s="520"/>
      <c r="I4" s="520"/>
    </row>
    <row r="5" spans="1:9" ht="18.75" customHeight="1" x14ac:dyDescent="0.25">
      <c r="A5" s="520"/>
      <c r="B5" s="520"/>
      <c r="C5" s="520"/>
      <c r="D5" s="520"/>
      <c r="E5" s="520"/>
      <c r="F5" s="520"/>
      <c r="G5" s="520"/>
      <c r="H5" s="520"/>
      <c r="I5" s="520"/>
    </row>
    <row r="6" spans="1:9" ht="18.75" customHeight="1" x14ac:dyDescent="0.25">
      <c r="A6" s="520"/>
      <c r="B6" s="520"/>
      <c r="C6" s="520"/>
      <c r="D6" s="520"/>
      <c r="E6" s="520"/>
      <c r="F6" s="520"/>
      <c r="G6" s="520"/>
      <c r="H6" s="520"/>
      <c r="I6" s="520"/>
    </row>
    <row r="7" spans="1:9" ht="18.75" customHeight="1" x14ac:dyDescent="0.25">
      <c r="A7" s="520"/>
      <c r="B7" s="520"/>
      <c r="C7" s="520"/>
      <c r="D7" s="520"/>
      <c r="E7" s="520"/>
      <c r="F7" s="520"/>
      <c r="G7" s="520"/>
      <c r="H7" s="520"/>
      <c r="I7" s="520"/>
    </row>
    <row r="8" spans="1:9" x14ac:dyDescent="0.25">
      <c r="A8" s="521" t="s">
        <v>46</v>
      </c>
      <c r="B8" s="521"/>
      <c r="C8" s="521"/>
      <c r="D8" s="521"/>
      <c r="E8" s="521"/>
      <c r="F8" s="521"/>
      <c r="G8" s="521"/>
      <c r="H8" s="521"/>
      <c r="I8" s="521"/>
    </row>
    <row r="9" spans="1:9" x14ac:dyDescent="0.25">
      <c r="A9" s="521"/>
      <c r="B9" s="521"/>
      <c r="C9" s="521"/>
      <c r="D9" s="521"/>
      <c r="E9" s="521"/>
      <c r="F9" s="521"/>
      <c r="G9" s="521"/>
      <c r="H9" s="521"/>
      <c r="I9" s="521"/>
    </row>
    <row r="10" spans="1:9" x14ac:dyDescent="0.25">
      <c r="A10" s="521"/>
      <c r="B10" s="521"/>
      <c r="C10" s="521"/>
      <c r="D10" s="521"/>
      <c r="E10" s="521"/>
      <c r="F10" s="521"/>
      <c r="G10" s="521"/>
      <c r="H10" s="521"/>
      <c r="I10" s="521"/>
    </row>
    <row r="11" spans="1:9" x14ac:dyDescent="0.25">
      <c r="A11" s="521"/>
      <c r="B11" s="521"/>
      <c r="C11" s="521"/>
      <c r="D11" s="521"/>
      <c r="E11" s="521"/>
      <c r="F11" s="521"/>
      <c r="G11" s="521"/>
      <c r="H11" s="521"/>
      <c r="I11" s="521"/>
    </row>
    <row r="12" spans="1:9" x14ac:dyDescent="0.25">
      <c r="A12" s="521"/>
      <c r="B12" s="521"/>
      <c r="C12" s="521"/>
      <c r="D12" s="521"/>
      <c r="E12" s="521"/>
      <c r="F12" s="521"/>
      <c r="G12" s="521"/>
      <c r="H12" s="521"/>
      <c r="I12" s="521"/>
    </row>
    <row r="13" spans="1:9" x14ac:dyDescent="0.25">
      <c r="A13" s="521"/>
      <c r="B13" s="521"/>
      <c r="C13" s="521"/>
      <c r="D13" s="521"/>
      <c r="E13" s="521"/>
      <c r="F13" s="521"/>
      <c r="G13" s="521"/>
      <c r="H13" s="521"/>
      <c r="I13" s="521"/>
    </row>
    <row r="14" spans="1:9" x14ac:dyDescent="0.25">
      <c r="A14" s="521"/>
      <c r="B14" s="521"/>
      <c r="C14" s="521"/>
      <c r="D14" s="521"/>
      <c r="E14" s="521"/>
      <c r="F14" s="521"/>
      <c r="G14" s="521"/>
      <c r="H14" s="521"/>
      <c r="I14" s="521"/>
    </row>
    <row r="15" spans="1:9" ht="19.5" customHeight="1" x14ac:dyDescent="0.3">
      <c r="A15" s="280"/>
    </row>
    <row r="16" spans="1:9" ht="19.5" customHeight="1" x14ac:dyDescent="0.3">
      <c r="A16" s="492" t="s">
        <v>31</v>
      </c>
      <c r="B16" s="493"/>
      <c r="C16" s="493"/>
      <c r="D16" s="493"/>
      <c r="E16" s="493"/>
      <c r="F16" s="493"/>
      <c r="G16" s="493"/>
      <c r="H16" s="494"/>
    </row>
    <row r="17" spans="1:14" ht="20.25" customHeight="1" x14ac:dyDescent="0.25">
      <c r="A17" s="495" t="s">
        <v>47</v>
      </c>
      <c r="B17" s="495"/>
      <c r="C17" s="495"/>
      <c r="D17" s="495"/>
      <c r="E17" s="495"/>
      <c r="F17" s="495"/>
      <c r="G17" s="495"/>
      <c r="H17" s="495"/>
    </row>
    <row r="18" spans="1:14" ht="26.25" customHeight="1" x14ac:dyDescent="0.4">
      <c r="A18" s="282" t="s">
        <v>33</v>
      </c>
      <c r="B18" s="491" t="s">
        <v>5</v>
      </c>
      <c r="C18" s="491"/>
      <c r="D18" s="427"/>
      <c r="E18" s="283"/>
      <c r="F18" s="284"/>
      <c r="G18" s="284"/>
      <c r="H18" s="284"/>
    </row>
    <row r="19" spans="1:14" ht="26.25" customHeight="1" x14ac:dyDescent="0.4">
      <c r="A19" s="282" t="s">
        <v>34</v>
      </c>
      <c r="B19" s="285" t="s">
        <v>7</v>
      </c>
      <c r="C19" s="436">
        <v>1</v>
      </c>
      <c r="D19" s="284"/>
      <c r="E19" s="284"/>
      <c r="F19" s="284"/>
      <c r="G19" s="284"/>
      <c r="H19" s="284"/>
    </row>
    <row r="20" spans="1:14" ht="26.25" customHeight="1" x14ac:dyDescent="0.4">
      <c r="A20" s="282" t="s">
        <v>35</v>
      </c>
      <c r="B20" s="496" t="s">
        <v>9</v>
      </c>
      <c r="C20" s="496"/>
      <c r="D20" s="284"/>
      <c r="E20" s="284"/>
      <c r="F20" s="284"/>
      <c r="G20" s="284"/>
      <c r="H20" s="284"/>
    </row>
    <row r="21" spans="1:14" ht="26.25" customHeight="1" x14ac:dyDescent="0.4">
      <c r="A21" s="282" t="s">
        <v>36</v>
      </c>
      <c r="B21" s="496" t="s">
        <v>11</v>
      </c>
      <c r="C21" s="496"/>
      <c r="D21" s="496"/>
      <c r="E21" s="496"/>
      <c r="F21" s="496"/>
      <c r="G21" s="496"/>
      <c r="H21" s="496"/>
      <c r="I21" s="286"/>
    </row>
    <row r="22" spans="1:14" ht="26.25" customHeight="1" x14ac:dyDescent="0.4">
      <c r="A22" s="282" t="s">
        <v>37</v>
      </c>
      <c r="B22" s="287" t="s">
        <v>12</v>
      </c>
      <c r="C22" s="284"/>
      <c r="D22" s="284"/>
      <c r="E22" s="284"/>
      <c r="F22" s="284"/>
      <c r="G22" s="284"/>
      <c r="H22" s="284"/>
    </row>
    <row r="23" spans="1:14" ht="26.25" customHeight="1" x14ac:dyDescent="0.4">
      <c r="A23" s="282" t="s">
        <v>38</v>
      </c>
      <c r="B23" s="287">
        <v>43047</v>
      </c>
      <c r="C23" s="284"/>
      <c r="D23" s="284"/>
      <c r="E23" s="284"/>
      <c r="F23" s="284"/>
      <c r="G23" s="284"/>
      <c r="H23" s="284"/>
    </row>
    <row r="24" spans="1:14" ht="18.75" x14ac:dyDescent="0.3">
      <c r="A24" s="282"/>
      <c r="B24" s="288"/>
    </row>
    <row r="25" spans="1:14" ht="18.75" x14ac:dyDescent="0.3">
      <c r="A25" s="289" t="s">
        <v>1</v>
      </c>
      <c r="B25" s="288"/>
    </row>
    <row r="26" spans="1:14" ht="26.25" customHeight="1" x14ac:dyDescent="0.4">
      <c r="A26" s="290" t="s">
        <v>4</v>
      </c>
      <c r="B26" s="490" t="s">
        <v>134</v>
      </c>
      <c r="C26" s="491"/>
    </row>
    <row r="27" spans="1:14" ht="26.25" customHeight="1" x14ac:dyDescent="0.4">
      <c r="A27" s="291" t="s">
        <v>48</v>
      </c>
      <c r="B27" s="497" t="s">
        <v>138</v>
      </c>
      <c r="C27" s="498"/>
    </row>
    <row r="28" spans="1:14" ht="27" customHeight="1" x14ac:dyDescent="0.4">
      <c r="A28" s="291" t="s">
        <v>6</v>
      </c>
      <c r="B28" s="292">
        <v>99.7</v>
      </c>
    </row>
    <row r="29" spans="1:14" s="14" customFormat="1" ht="27" customHeight="1" x14ac:dyDescent="0.4">
      <c r="A29" s="291" t="s">
        <v>49</v>
      </c>
      <c r="B29" s="293">
        <v>0</v>
      </c>
      <c r="C29" s="499" t="s">
        <v>50</v>
      </c>
      <c r="D29" s="500"/>
      <c r="E29" s="500"/>
      <c r="F29" s="500"/>
      <c r="G29" s="501"/>
      <c r="I29" s="294"/>
      <c r="J29" s="294"/>
      <c r="K29" s="294"/>
      <c r="L29" s="294"/>
    </row>
    <row r="30" spans="1:14" s="14" customFormat="1" ht="19.5" customHeight="1" x14ac:dyDescent="0.3">
      <c r="A30" s="291" t="s">
        <v>51</v>
      </c>
      <c r="B30" s="295">
        <f>B28-B29</f>
        <v>99.7</v>
      </c>
      <c r="C30" s="296"/>
      <c r="D30" s="296"/>
      <c r="E30" s="296"/>
      <c r="F30" s="296"/>
      <c r="G30" s="297"/>
      <c r="I30" s="294"/>
      <c r="J30" s="294"/>
      <c r="K30" s="294"/>
      <c r="L30" s="294"/>
    </row>
    <row r="31" spans="1:14" s="14" customFormat="1" ht="27" customHeight="1" x14ac:dyDescent="0.4">
      <c r="A31" s="291" t="s">
        <v>52</v>
      </c>
      <c r="B31" s="298">
        <v>1</v>
      </c>
      <c r="C31" s="502" t="s">
        <v>53</v>
      </c>
      <c r="D31" s="503"/>
      <c r="E31" s="503"/>
      <c r="F31" s="503"/>
      <c r="G31" s="503"/>
      <c r="H31" s="504"/>
      <c r="I31" s="294"/>
      <c r="J31" s="294"/>
      <c r="K31" s="294"/>
      <c r="L31" s="294"/>
    </row>
    <row r="32" spans="1:14" s="14" customFormat="1" ht="27" customHeight="1" x14ac:dyDescent="0.4">
      <c r="A32" s="291" t="s">
        <v>54</v>
      </c>
      <c r="B32" s="298">
        <v>1</v>
      </c>
      <c r="C32" s="502" t="s">
        <v>55</v>
      </c>
      <c r="D32" s="503"/>
      <c r="E32" s="503"/>
      <c r="F32" s="503"/>
      <c r="G32" s="503"/>
      <c r="H32" s="504"/>
      <c r="I32" s="294"/>
      <c r="J32" s="294"/>
      <c r="K32" s="294"/>
      <c r="L32" s="299"/>
      <c r="M32" s="299"/>
      <c r="N32" s="300"/>
    </row>
    <row r="33" spans="1:14" s="14" customFormat="1" ht="17.25" customHeight="1" x14ac:dyDescent="0.3">
      <c r="A33" s="291"/>
      <c r="B33" s="301"/>
      <c r="C33" s="302"/>
      <c r="D33" s="302"/>
      <c r="E33" s="302"/>
      <c r="F33" s="302"/>
      <c r="G33" s="302"/>
      <c r="H33" s="302"/>
      <c r="I33" s="294"/>
      <c r="J33" s="294"/>
      <c r="K33" s="294"/>
      <c r="L33" s="299"/>
      <c r="M33" s="299"/>
      <c r="N33" s="300"/>
    </row>
    <row r="34" spans="1:14" s="14" customFormat="1" ht="18.75" x14ac:dyDescent="0.3">
      <c r="A34" s="291" t="s">
        <v>56</v>
      </c>
      <c r="B34" s="303">
        <f>B31/B32</f>
        <v>1</v>
      </c>
      <c r="C34" s="281" t="s">
        <v>57</v>
      </c>
      <c r="D34" s="281"/>
      <c r="E34" s="281"/>
      <c r="F34" s="281"/>
      <c r="G34" s="281"/>
      <c r="I34" s="294"/>
      <c r="J34" s="294"/>
      <c r="K34" s="294"/>
      <c r="L34" s="299"/>
      <c r="M34" s="299"/>
      <c r="N34" s="300"/>
    </row>
    <row r="35" spans="1:14" s="14" customFormat="1" ht="19.5" customHeight="1" x14ac:dyDescent="0.3">
      <c r="A35" s="291"/>
      <c r="B35" s="295"/>
      <c r="G35" s="281"/>
      <c r="I35" s="294"/>
      <c r="J35" s="294"/>
      <c r="K35" s="294"/>
      <c r="L35" s="299"/>
      <c r="M35" s="299"/>
      <c r="N35" s="300"/>
    </row>
    <row r="36" spans="1:14" s="14" customFormat="1" ht="27" customHeight="1" x14ac:dyDescent="0.4">
      <c r="A36" s="304" t="s">
        <v>58</v>
      </c>
      <c r="B36" s="305">
        <v>25</v>
      </c>
      <c r="C36" s="281"/>
      <c r="D36" s="505" t="s">
        <v>59</v>
      </c>
      <c r="E36" s="506"/>
      <c r="F36" s="505" t="s">
        <v>60</v>
      </c>
      <c r="G36" s="507"/>
      <c r="J36" s="294"/>
      <c r="K36" s="294"/>
      <c r="L36" s="299"/>
      <c r="M36" s="299"/>
      <c r="N36" s="300"/>
    </row>
    <row r="37" spans="1:14" s="14" customFormat="1" ht="27" customHeight="1" x14ac:dyDescent="0.4">
      <c r="A37" s="306" t="s">
        <v>61</v>
      </c>
      <c r="B37" s="307">
        <v>4</v>
      </c>
      <c r="C37" s="308" t="s">
        <v>62</v>
      </c>
      <c r="D37" s="309" t="s">
        <v>63</v>
      </c>
      <c r="E37" s="310" t="s">
        <v>64</v>
      </c>
      <c r="F37" s="309" t="s">
        <v>63</v>
      </c>
      <c r="G37" s="311" t="s">
        <v>64</v>
      </c>
      <c r="I37" s="312" t="s">
        <v>65</v>
      </c>
      <c r="J37" s="294"/>
      <c r="K37" s="294"/>
      <c r="L37" s="299"/>
      <c r="M37" s="299"/>
      <c r="N37" s="300"/>
    </row>
    <row r="38" spans="1:14" s="14" customFormat="1" ht="26.25" customHeight="1" x14ac:dyDescent="0.4">
      <c r="A38" s="306" t="s">
        <v>66</v>
      </c>
      <c r="B38" s="307">
        <v>100</v>
      </c>
      <c r="C38" s="313">
        <v>1</v>
      </c>
      <c r="D38" s="477">
        <v>3112026</v>
      </c>
      <c r="E38" s="314">
        <f>IF(ISBLANK(D38),"-",$D$48/$D$45*D38)</f>
        <v>2921282.3308484182</v>
      </c>
      <c r="F38" s="477">
        <v>2970566</v>
      </c>
      <c r="G38" s="315">
        <f>IF(ISBLANK(F38),"-",$D$48/$F$45*F38)</f>
        <v>2961734.1088872976</v>
      </c>
      <c r="I38" s="316"/>
      <c r="J38" s="294"/>
      <c r="K38" s="294"/>
      <c r="L38" s="299"/>
      <c r="M38" s="299"/>
      <c r="N38" s="300"/>
    </row>
    <row r="39" spans="1:14" s="14" customFormat="1" ht="26.25" customHeight="1" x14ac:dyDescent="0.4">
      <c r="A39" s="306" t="s">
        <v>67</v>
      </c>
      <c r="B39" s="307">
        <v>1</v>
      </c>
      <c r="C39" s="317">
        <v>2</v>
      </c>
      <c r="D39" s="318">
        <v>3120824</v>
      </c>
      <c r="E39" s="319">
        <f>IF(ISBLANK(D39),"-",$D$48/$D$45*D39)</f>
        <v>2929541.0799548859</v>
      </c>
      <c r="F39" s="318">
        <v>2980874</v>
      </c>
      <c r="G39" s="320">
        <f>IF(ISBLANK(F39),"-",$D$48/$F$45*F39)</f>
        <v>2972011.4618208497</v>
      </c>
      <c r="I39" s="509">
        <f>ABS((F43/D43*D42)-F42)/D42</f>
        <v>1.2971009498455956E-2</v>
      </c>
      <c r="J39" s="294"/>
      <c r="K39" s="294"/>
      <c r="L39" s="299"/>
      <c r="M39" s="299"/>
      <c r="N39" s="300"/>
    </row>
    <row r="40" spans="1:14" ht="26.25" customHeight="1" x14ac:dyDescent="0.4">
      <c r="A40" s="306" t="s">
        <v>68</v>
      </c>
      <c r="B40" s="307">
        <v>1</v>
      </c>
      <c r="C40" s="317">
        <v>3</v>
      </c>
      <c r="D40" s="318">
        <v>3117400</v>
      </c>
      <c r="E40" s="319">
        <f>IF(ISBLANK(D40),"-",$D$48/$D$45*D40)</f>
        <v>2926326.9452719414</v>
      </c>
      <c r="F40" s="318">
        <v>2973166</v>
      </c>
      <c r="G40" s="320">
        <f>IF(ISBLANK(F40),"-",$D$48/$F$45*F40)</f>
        <v>2964326.3787386012</v>
      </c>
      <c r="I40" s="509"/>
      <c r="L40" s="299"/>
      <c r="M40" s="299"/>
      <c r="N40" s="321"/>
    </row>
    <row r="41" spans="1:14" ht="27" customHeight="1" x14ac:dyDescent="0.4">
      <c r="A41" s="306" t="s">
        <v>69</v>
      </c>
      <c r="B41" s="307">
        <v>1</v>
      </c>
      <c r="C41" s="322">
        <v>4</v>
      </c>
      <c r="D41" s="323"/>
      <c r="E41" s="324" t="str">
        <f>IF(ISBLANK(D41),"-",$D$48/$D$45*D41)</f>
        <v>-</v>
      </c>
      <c r="F41" s="323"/>
      <c r="G41" s="325" t="str">
        <f>IF(ISBLANK(F41),"-",$D$48/$F$45*F41)</f>
        <v>-</v>
      </c>
      <c r="I41" s="326"/>
      <c r="L41" s="299"/>
      <c r="M41" s="299"/>
      <c r="N41" s="321"/>
    </row>
    <row r="42" spans="1:14" ht="27" customHeight="1" x14ac:dyDescent="0.4">
      <c r="A42" s="306" t="s">
        <v>70</v>
      </c>
      <c r="B42" s="307">
        <v>1</v>
      </c>
      <c r="C42" s="327" t="s">
        <v>71</v>
      </c>
      <c r="D42" s="328">
        <f>AVERAGE(D38:D41)</f>
        <v>3116750</v>
      </c>
      <c r="E42" s="329">
        <f>AVERAGE(E38:E41)</f>
        <v>2925716.7853584155</v>
      </c>
      <c r="F42" s="328">
        <f>AVERAGE(F38:F41)</f>
        <v>2974868.6666666665</v>
      </c>
      <c r="G42" s="330">
        <f>AVERAGE(G38:G41)</f>
        <v>2966023.9831489162</v>
      </c>
      <c r="H42" s="331"/>
    </row>
    <row r="43" spans="1:14" ht="26.25" customHeight="1" x14ac:dyDescent="0.4">
      <c r="A43" s="306" t="s">
        <v>72</v>
      </c>
      <c r="B43" s="307">
        <v>1</v>
      </c>
      <c r="C43" s="332" t="s">
        <v>73</v>
      </c>
      <c r="D43" s="333">
        <v>21.37</v>
      </c>
      <c r="E43" s="321"/>
      <c r="F43" s="333">
        <v>20.12</v>
      </c>
      <c r="H43" s="331"/>
    </row>
    <row r="44" spans="1:14" ht="26.25" customHeight="1" x14ac:dyDescent="0.4">
      <c r="A44" s="306" t="s">
        <v>74</v>
      </c>
      <c r="B44" s="307">
        <v>1</v>
      </c>
      <c r="C44" s="334" t="s">
        <v>75</v>
      </c>
      <c r="D44" s="335">
        <f>D43*$B$34</f>
        <v>21.37</v>
      </c>
      <c r="E44" s="336"/>
      <c r="F44" s="335">
        <f>F43*$B$34</f>
        <v>20.12</v>
      </c>
      <c r="H44" s="331"/>
    </row>
    <row r="45" spans="1:14" ht="19.5" customHeight="1" x14ac:dyDescent="0.3">
      <c r="A45" s="306" t="s">
        <v>76</v>
      </c>
      <c r="B45" s="337">
        <f>(B44/B43)*(B42/B41)*(B40/B39)*(B38/B37)*B36</f>
        <v>625</v>
      </c>
      <c r="C45" s="334" t="s">
        <v>77</v>
      </c>
      <c r="D45" s="338">
        <f>D44*$B$30/100</f>
        <v>21.305889999999998</v>
      </c>
      <c r="E45" s="339"/>
      <c r="F45" s="338">
        <f>F44*$B$30/100</f>
        <v>20.059640000000002</v>
      </c>
      <c r="H45" s="331"/>
    </row>
    <row r="46" spans="1:14" ht="19.5" customHeight="1" x14ac:dyDescent="0.3">
      <c r="A46" s="510" t="s">
        <v>78</v>
      </c>
      <c r="B46" s="511"/>
      <c r="C46" s="334" t="s">
        <v>79</v>
      </c>
      <c r="D46" s="340">
        <f>D45/$B$45</f>
        <v>3.4089424E-2</v>
      </c>
      <c r="E46" s="341"/>
      <c r="F46" s="342">
        <f>F45/$B$45</f>
        <v>3.2095424000000004E-2</v>
      </c>
      <c r="H46" s="331"/>
    </row>
    <row r="47" spans="1:14" ht="27" customHeight="1" x14ac:dyDescent="0.4">
      <c r="A47" s="512"/>
      <c r="B47" s="513"/>
      <c r="C47" s="343" t="s">
        <v>80</v>
      </c>
      <c r="D47" s="344">
        <v>3.2000000000000001E-2</v>
      </c>
      <c r="E47" s="345"/>
      <c r="F47" s="341"/>
      <c r="H47" s="331"/>
    </row>
    <row r="48" spans="1:14" ht="18.75" x14ac:dyDescent="0.3">
      <c r="C48" s="346" t="s">
        <v>81</v>
      </c>
      <c r="D48" s="338">
        <f>D47*$B$45</f>
        <v>20</v>
      </c>
      <c r="F48" s="347"/>
      <c r="H48" s="331"/>
    </row>
    <row r="49" spans="1:12" ht="19.5" customHeight="1" x14ac:dyDescent="0.3">
      <c r="C49" s="348" t="s">
        <v>82</v>
      </c>
      <c r="D49" s="349">
        <f>D48/B34</f>
        <v>20</v>
      </c>
      <c r="F49" s="347"/>
      <c r="H49" s="331"/>
    </row>
    <row r="50" spans="1:12" ht="18.75" x14ac:dyDescent="0.3">
      <c r="C50" s="304" t="s">
        <v>83</v>
      </c>
      <c r="D50" s="350">
        <f>AVERAGE(E38:E41,G38:G41)</f>
        <v>2945870.3842536658</v>
      </c>
      <c r="F50" s="351"/>
      <c r="H50" s="331"/>
    </row>
    <row r="51" spans="1:12" ht="18.75" x14ac:dyDescent="0.3">
      <c r="C51" s="306" t="s">
        <v>84</v>
      </c>
      <c r="D51" s="352">
        <f>STDEV(E38:E41,G38:G41)/D50</f>
        <v>7.6341163613808903E-3</v>
      </c>
      <c r="F51" s="351"/>
      <c r="H51" s="331"/>
    </row>
    <row r="52" spans="1:12" ht="19.5" customHeight="1" x14ac:dyDescent="0.3">
      <c r="C52" s="353" t="s">
        <v>20</v>
      </c>
      <c r="D52" s="354">
        <f>COUNT(E38:E41,G38:G41)</f>
        <v>6</v>
      </c>
      <c r="F52" s="351"/>
    </row>
    <row r="54" spans="1:12" ht="18.75" x14ac:dyDescent="0.3">
      <c r="A54" s="355" t="s">
        <v>1</v>
      </c>
      <c r="B54" s="356" t="s">
        <v>85</v>
      </c>
    </row>
    <row r="55" spans="1:12" ht="18.75" x14ac:dyDescent="0.3">
      <c r="A55" s="281" t="s">
        <v>86</v>
      </c>
      <c r="B55" s="357" t="str">
        <f>B21</f>
        <v xml:space="preserve">Each tablet contains: Sulphamethoxazole BP 800 mg and Trimethoprim 
BP 160 mg.
</v>
      </c>
    </row>
    <row r="56" spans="1:12" ht="26.25" customHeight="1" x14ac:dyDescent="0.4">
      <c r="A56" s="358" t="s">
        <v>87</v>
      </c>
      <c r="B56" s="359">
        <v>160</v>
      </c>
      <c r="C56" s="281" t="str">
        <f>B20</f>
        <v>Sulfamethoxazole &amp; Trimethoprim</v>
      </c>
      <c r="H56" s="360"/>
    </row>
    <row r="57" spans="1:12" ht="18.75" x14ac:dyDescent="0.3">
      <c r="A57" s="357" t="s">
        <v>88</v>
      </c>
      <c r="B57" s="428">
        <f>Uniformity!C46</f>
        <v>1045.4454999999998</v>
      </c>
      <c r="H57" s="360"/>
    </row>
    <row r="58" spans="1:12" ht="19.5" customHeight="1" x14ac:dyDescent="0.3">
      <c r="H58" s="360"/>
    </row>
    <row r="59" spans="1:12" s="14" customFormat="1" ht="27" customHeight="1" x14ac:dyDescent="0.4">
      <c r="A59" s="304" t="s">
        <v>89</v>
      </c>
      <c r="B59" s="305">
        <v>100</v>
      </c>
      <c r="C59" s="281"/>
      <c r="D59" s="361" t="s">
        <v>90</v>
      </c>
      <c r="E59" s="362" t="s">
        <v>62</v>
      </c>
      <c r="F59" s="362" t="s">
        <v>63</v>
      </c>
      <c r="G59" s="362" t="s">
        <v>91</v>
      </c>
      <c r="H59" s="308" t="s">
        <v>92</v>
      </c>
      <c r="L59" s="294"/>
    </row>
    <row r="60" spans="1:12" s="14" customFormat="1" ht="26.25" customHeight="1" x14ac:dyDescent="0.4">
      <c r="A60" s="306" t="s">
        <v>93</v>
      </c>
      <c r="B60" s="307">
        <v>2</v>
      </c>
      <c r="C60" s="514" t="s">
        <v>94</v>
      </c>
      <c r="D60" s="517">
        <v>1045.3499999999999</v>
      </c>
      <c r="E60" s="363">
        <v>1</v>
      </c>
      <c r="F60" s="364">
        <v>2913099</v>
      </c>
      <c r="G60" s="429">
        <f>IF(ISBLANK(F60),"-",(F60/$D$50*$D$47*$B$68)*($B$57/$D$60))</f>
        <v>158.23453183529591</v>
      </c>
      <c r="H60" s="447">
        <f t="shared" ref="H60:H71" si="0">IF(ISBLANK(F60),"-",(G60/$B$56)*100)</f>
        <v>98.896582397059944</v>
      </c>
      <c r="L60" s="294"/>
    </row>
    <row r="61" spans="1:12" s="14" customFormat="1" ht="26.25" customHeight="1" x14ac:dyDescent="0.4">
      <c r="A61" s="306" t="s">
        <v>95</v>
      </c>
      <c r="B61" s="307">
        <v>100</v>
      </c>
      <c r="C61" s="515"/>
      <c r="D61" s="518"/>
      <c r="E61" s="365">
        <v>2</v>
      </c>
      <c r="F61" s="318">
        <v>2910047</v>
      </c>
      <c r="G61" s="430">
        <f>IF(ISBLANK(F61),"-",(F61/$D$50*$D$47*$B$68)*($B$57/$D$60))</f>
        <v>158.06875243982697</v>
      </c>
      <c r="H61" s="448">
        <f t="shared" si="0"/>
        <v>98.792970274891857</v>
      </c>
      <c r="L61" s="294"/>
    </row>
    <row r="62" spans="1:12" s="14" customFormat="1" ht="26.25" customHeight="1" x14ac:dyDescent="0.4">
      <c r="A62" s="306" t="s">
        <v>96</v>
      </c>
      <c r="B62" s="307">
        <v>1</v>
      </c>
      <c r="C62" s="515"/>
      <c r="D62" s="518"/>
      <c r="E62" s="365">
        <v>3</v>
      </c>
      <c r="F62" s="366">
        <v>2910768</v>
      </c>
      <c r="G62" s="430">
        <f>IF(ISBLANK(F62),"-",(F62/$D$50*$D$47*$B$68)*($B$57/$D$60))</f>
        <v>158.10791592086665</v>
      </c>
      <c r="H62" s="448">
        <f t="shared" si="0"/>
        <v>98.81744745054165</v>
      </c>
      <c r="L62" s="294"/>
    </row>
    <row r="63" spans="1:12" ht="27" customHeight="1" x14ac:dyDescent="0.4">
      <c r="A63" s="306" t="s">
        <v>97</v>
      </c>
      <c r="B63" s="307">
        <v>1</v>
      </c>
      <c r="C63" s="516"/>
      <c r="D63" s="519"/>
      <c r="E63" s="367">
        <v>4</v>
      </c>
      <c r="F63" s="368"/>
      <c r="G63" s="430" t="str">
        <f>IF(ISBLANK(F63),"-",(F63/$D$50*$D$47*$B$68)*($B$57/$D$60))</f>
        <v>-</v>
      </c>
      <c r="H63" s="448" t="str">
        <f t="shared" si="0"/>
        <v>-</v>
      </c>
    </row>
    <row r="64" spans="1:12" ht="26.25" customHeight="1" x14ac:dyDescent="0.4">
      <c r="A64" s="306" t="s">
        <v>98</v>
      </c>
      <c r="B64" s="307">
        <v>1</v>
      </c>
      <c r="C64" s="514" t="s">
        <v>99</v>
      </c>
      <c r="D64" s="517">
        <v>1038.44</v>
      </c>
      <c r="E64" s="363">
        <v>1</v>
      </c>
      <c r="F64" s="364">
        <v>2900224</v>
      </c>
      <c r="G64" s="429">
        <f>IF(ISBLANK(F64),"-",(F64/$D$50*$D$47*$B$68)*($B$57/$D$64))</f>
        <v>158.58345648487574</v>
      </c>
      <c r="H64" s="447">
        <f t="shared" si="0"/>
        <v>99.114660303047344</v>
      </c>
    </row>
    <row r="65" spans="1:8" ht="26.25" customHeight="1" x14ac:dyDescent="0.4">
      <c r="A65" s="306" t="s">
        <v>100</v>
      </c>
      <c r="B65" s="307">
        <v>1</v>
      </c>
      <c r="C65" s="515"/>
      <c r="D65" s="518"/>
      <c r="E65" s="365">
        <v>2</v>
      </c>
      <c r="F65" s="318">
        <v>2882019</v>
      </c>
      <c r="G65" s="430">
        <f>IF(ISBLANK(F65),"-",(F65/$D$50*$D$47*$B$68)*($B$57/$D$64))</f>
        <v>157.58801205530506</v>
      </c>
      <c r="H65" s="448">
        <f t="shared" si="0"/>
        <v>98.492507534565661</v>
      </c>
    </row>
    <row r="66" spans="1:8" ht="26.25" customHeight="1" x14ac:dyDescent="0.4">
      <c r="A66" s="306" t="s">
        <v>101</v>
      </c>
      <c r="B66" s="307">
        <v>1</v>
      </c>
      <c r="C66" s="515"/>
      <c r="D66" s="518"/>
      <c r="E66" s="365">
        <v>3</v>
      </c>
      <c r="F66" s="318">
        <v>2891278</v>
      </c>
      <c r="G66" s="430">
        <f>IF(ISBLANK(F66),"-",(F66/$D$50*$D$47*$B$68)*($B$57/$D$64))</f>
        <v>158.09429164736193</v>
      </c>
      <c r="H66" s="448">
        <f t="shared" si="0"/>
        <v>98.808932279601208</v>
      </c>
    </row>
    <row r="67" spans="1:8" ht="27" customHeight="1" x14ac:dyDescent="0.4">
      <c r="A67" s="306" t="s">
        <v>102</v>
      </c>
      <c r="B67" s="307">
        <v>1</v>
      </c>
      <c r="C67" s="516"/>
      <c r="D67" s="519"/>
      <c r="E67" s="367">
        <v>4</v>
      </c>
      <c r="F67" s="368"/>
      <c r="G67" s="446" t="str">
        <f>IF(ISBLANK(F67),"-",(F67/$D$50*$D$47*$B$68)*($B$57/$D$64))</f>
        <v>-</v>
      </c>
      <c r="H67" s="449" t="str">
        <f t="shared" si="0"/>
        <v>-</v>
      </c>
    </row>
    <row r="68" spans="1:8" ht="26.25" customHeight="1" x14ac:dyDescent="0.4">
      <c r="A68" s="306" t="s">
        <v>103</v>
      </c>
      <c r="B68" s="369">
        <f>(B67/B66)*(B65/B64)*(B63/B62)*(B61/B60)*B59</f>
        <v>5000</v>
      </c>
      <c r="C68" s="514" t="s">
        <v>104</v>
      </c>
      <c r="D68" s="517">
        <v>1050.83</v>
      </c>
      <c r="E68" s="363">
        <v>1</v>
      </c>
      <c r="F68" s="364">
        <v>2906580</v>
      </c>
      <c r="G68" s="429">
        <f>IF(ISBLANK(F68),"-",(F68/$D$50*$D$47*$B$68)*($B$57/$D$68))</f>
        <v>157.0570962966537</v>
      </c>
      <c r="H68" s="448">
        <f t="shared" si="0"/>
        <v>98.160685185408553</v>
      </c>
    </row>
    <row r="69" spans="1:8" ht="27" customHeight="1" x14ac:dyDescent="0.4">
      <c r="A69" s="353" t="s">
        <v>105</v>
      </c>
      <c r="B69" s="370">
        <f>(D47*B68)/B56*B57</f>
        <v>1045.4454999999998</v>
      </c>
      <c r="C69" s="515"/>
      <c r="D69" s="518"/>
      <c r="E69" s="365">
        <v>2</v>
      </c>
      <c r="F69" s="318">
        <v>2919929</v>
      </c>
      <c r="G69" s="430">
        <f>IF(ISBLANK(F69),"-",(F69/$D$50*$D$47*$B$68)*($B$57/$D$68))</f>
        <v>157.77840972290176</v>
      </c>
      <c r="H69" s="448">
        <f t="shared" si="0"/>
        <v>98.611506076813598</v>
      </c>
    </row>
    <row r="70" spans="1:8" ht="26.25" customHeight="1" x14ac:dyDescent="0.4">
      <c r="A70" s="527" t="s">
        <v>78</v>
      </c>
      <c r="B70" s="528"/>
      <c r="C70" s="515"/>
      <c r="D70" s="518"/>
      <c r="E70" s="365">
        <v>3</v>
      </c>
      <c r="F70" s="318">
        <v>2901335</v>
      </c>
      <c r="G70" s="430">
        <f>IF(ISBLANK(F70),"-",(F70/$D$50*$D$47*$B$68)*($B$57/$D$68))</f>
        <v>156.77368263865156</v>
      </c>
      <c r="H70" s="448">
        <f t="shared" si="0"/>
        <v>97.983551649157235</v>
      </c>
    </row>
    <row r="71" spans="1:8" ht="27" customHeight="1" x14ac:dyDescent="0.4">
      <c r="A71" s="529"/>
      <c r="B71" s="530"/>
      <c r="C71" s="526"/>
      <c r="D71" s="519"/>
      <c r="E71" s="367">
        <v>4</v>
      </c>
      <c r="F71" s="368"/>
      <c r="G71" s="446" t="str">
        <f>IF(ISBLANK(F71),"-",(F71/$D$50*$D$47*$B$68)*($B$57/$D$68))</f>
        <v>-</v>
      </c>
      <c r="H71" s="449" t="str">
        <f t="shared" si="0"/>
        <v>-</v>
      </c>
    </row>
    <row r="72" spans="1:8" ht="26.25" customHeight="1" x14ac:dyDescent="0.4">
      <c r="A72" s="371"/>
      <c r="B72" s="371"/>
      <c r="C72" s="371"/>
      <c r="D72" s="371"/>
      <c r="E72" s="371"/>
      <c r="F72" s="373" t="s">
        <v>71</v>
      </c>
      <c r="G72" s="435">
        <f>AVERAGE(G60:G71)</f>
        <v>157.80957211574881</v>
      </c>
      <c r="H72" s="450">
        <f>AVERAGE(H60:H71)</f>
        <v>98.630982572343001</v>
      </c>
    </row>
    <row r="73" spans="1:8" ht="26.25" customHeight="1" x14ac:dyDescent="0.4">
      <c r="C73" s="371"/>
      <c r="D73" s="371"/>
      <c r="E73" s="371"/>
      <c r="F73" s="374" t="s">
        <v>84</v>
      </c>
      <c r="G73" s="434">
        <f>STDEV(G60:G71)/G72</f>
        <v>3.6854645930314602E-3</v>
      </c>
      <c r="H73" s="434">
        <f>STDEV(H60:H71)/H72</f>
        <v>3.6854645930314701E-3</v>
      </c>
    </row>
    <row r="74" spans="1:8" ht="27" customHeight="1" x14ac:dyDescent="0.4">
      <c r="A74" s="371"/>
      <c r="B74" s="371"/>
      <c r="C74" s="372"/>
      <c r="D74" s="372"/>
      <c r="E74" s="375"/>
      <c r="F74" s="376" t="s">
        <v>20</v>
      </c>
      <c r="G74" s="377">
        <f>COUNT(G60:G71)</f>
        <v>9</v>
      </c>
      <c r="H74" s="377">
        <f>COUNT(H60:H71)</f>
        <v>9</v>
      </c>
    </row>
    <row r="76" spans="1:8" ht="26.25" customHeight="1" x14ac:dyDescent="0.4">
      <c r="A76" s="290" t="s">
        <v>106</v>
      </c>
      <c r="B76" s="378" t="s">
        <v>107</v>
      </c>
      <c r="C76" s="522" t="str">
        <f>B26</f>
        <v>TRIMETHOPRIM</v>
      </c>
      <c r="D76" s="522"/>
      <c r="E76" s="379" t="s">
        <v>108</v>
      </c>
      <c r="F76" s="379"/>
      <c r="G76" s="466">
        <f>H72</f>
        <v>98.630982572343001</v>
      </c>
      <c r="H76" s="381"/>
    </row>
    <row r="77" spans="1:8" ht="18.75" x14ac:dyDescent="0.3">
      <c r="A77" s="289" t="s">
        <v>109</v>
      </c>
      <c r="B77" s="289" t="s">
        <v>110</v>
      </c>
    </row>
    <row r="78" spans="1:8" ht="18.75" x14ac:dyDescent="0.3">
      <c r="A78" s="289"/>
      <c r="B78" s="289"/>
    </row>
    <row r="79" spans="1:8" ht="26.25" customHeight="1" x14ac:dyDescent="0.4">
      <c r="A79" s="290" t="s">
        <v>4</v>
      </c>
      <c r="B79" s="508" t="str">
        <f>B26</f>
        <v>TRIMETHOPRIM</v>
      </c>
      <c r="C79" s="508"/>
    </row>
    <row r="80" spans="1:8" ht="26.25" customHeight="1" x14ac:dyDescent="0.4">
      <c r="A80" s="291" t="s">
        <v>48</v>
      </c>
      <c r="B80" s="508" t="str">
        <f>B27</f>
        <v>T7-5</v>
      </c>
      <c r="C80" s="508"/>
    </row>
    <row r="81" spans="1:12" ht="27" customHeight="1" x14ac:dyDescent="0.4">
      <c r="A81" s="291" t="s">
        <v>6</v>
      </c>
      <c r="B81" s="382">
        <f>B28</f>
        <v>99.7</v>
      </c>
    </row>
    <row r="82" spans="1:12" s="14" customFormat="1" ht="27" customHeight="1" x14ac:dyDescent="0.4">
      <c r="A82" s="291" t="s">
        <v>49</v>
      </c>
      <c r="B82" s="293">
        <v>0</v>
      </c>
      <c r="C82" s="499" t="s">
        <v>50</v>
      </c>
      <c r="D82" s="500"/>
      <c r="E82" s="500"/>
      <c r="F82" s="500"/>
      <c r="G82" s="501"/>
      <c r="I82" s="294"/>
      <c r="J82" s="294"/>
      <c r="K82" s="294"/>
      <c r="L82" s="294"/>
    </row>
    <row r="83" spans="1:12" s="14" customFormat="1" ht="19.5" customHeight="1" x14ac:dyDescent="0.3">
      <c r="A83" s="291" t="s">
        <v>51</v>
      </c>
      <c r="B83" s="295">
        <f>B81-B82</f>
        <v>99.7</v>
      </c>
      <c r="C83" s="296"/>
      <c r="D83" s="296"/>
      <c r="E83" s="296"/>
      <c r="F83" s="296"/>
      <c r="G83" s="297"/>
      <c r="I83" s="294"/>
      <c r="J83" s="294"/>
      <c r="K83" s="294"/>
      <c r="L83" s="294"/>
    </row>
    <row r="84" spans="1:12" s="14" customFormat="1" ht="27" customHeight="1" x14ac:dyDescent="0.4">
      <c r="A84" s="291" t="s">
        <v>52</v>
      </c>
      <c r="B84" s="298">
        <v>1</v>
      </c>
      <c r="C84" s="502" t="s">
        <v>111</v>
      </c>
      <c r="D84" s="503"/>
      <c r="E84" s="503"/>
      <c r="F84" s="503"/>
      <c r="G84" s="503"/>
      <c r="H84" s="504"/>
      <c r="I84" s="294"/>
      <c r="J84" s="294"/>
      <c r="K84" s="294"/>
      <c r="L84" s="294"/>
    </row>
    <row r="85" spans="1:12" s="14" customFormat="1" ht="27" customHeight="1" x14ac:dyDescent="0.4">
      <c r="A85" s="291" t="s">
        <v>54</v>
      </c>
      <c r="B85" s="298">
        <v>1</v>
      </c>
      <c r="C85" s="502" t="s">
        <v>112</v>
      </c>
      <c r="D85" s="503"/>
      <c r="E85" s="503"/>
      <c r="F85" s="503"/>
      <c r="G85" s="503"/>
      <c r="H85" s="504"/>
      <c r="I85" s="294"/>
      <c r="J85" s="294"/>
      <c r="K85" s="294"/>
      <c r="L85" s="294"/>
    </row>
    <row r="86" spans="1:12" s="14" customFormat="1" ht="18.75" x14ac:dyDescent="0.3">
      <c r="A86" s="291"/>
      <c r="B86" s="301"/>
      <c r="C86" s="302"/>
      <c r="D86" s="302"/>
      <c r="E86" s="302"/>
      <c r="F86" s="302"/>
      <c r="G86" s="302"/>
      <c r="H86" s="302"/>
      <c r="I86" s="294"/>
      <c r="J86" s="294"/>
      <c r="K86" s="294"/>
      <c r="L86" s="294"/>
    </row>
    <row r="87" spans="1:12" s="14" customFormat="1" ht="18.75" x14ac:dyDescent="0.3">
      <c r="A87" s="291" t="s">
        <v>56</v>
      </c>
      <c r="B87" s="303">
        <f>B84/B85</f>
        <v>1</v>
      </c>
      <c r="C87" s="281" t="s">
        <v>57</v>
      </c>
      <c r="D87" s="281"/>
      <c r="E87" s="281"/>
      <c r="F87" s="281"/>
      <c r="G87" s="281"/>
      <c r="I87" s="294"/>
      <c r="J87" s="294"/>
      <c r="K87" s="294"/>
      <c r="L87" s="294"/>
    </row>
    <row r="88" spans="1:12" ht="19.5" customHeight="1" x14ac:dyDescent="0.3">
      <c r="A88" s="289"/>
      <c r="B88" s="289"/>
    </row>
    <row r="89" spans="1:12" ht="27" customHeight="1" x14ac:dyDescent="0.4">
      <c r="A89" s="304" t="s">
        <v>58</v>
      </c>
      <c r="B89" s="305">
        <v>25</v>
      </c>
      <c r="D89" s="383" t="s">
        <v>59</v>
      </c>
      <c r="E89" s="384"/>
      <c r="F89" s="505" t="s">
        <v>60</v>
      </c>
      <c r="G89" s="507"/>
    </row>
    <row r="90" spans="1:12" ht="27" customHeight="1" x14ac:dyDescent="0.4">
      <c r="A90" s="306" t="s">
        <v>61</v>
      </c>
      <c r="B90" s="307">
        <v>4</v>
      </c>
      <c r="C90" s="385" t="s">
        <v>62</v>
      </c>
      <c r="D90" s="309" t="s">
        <v>63</v>
      </c>
      <c r="E90" s="310" t="s">
        <v>64</v>
      </c>
      <c r="F90" s="309" t="s">
        <v>63</v>
      </c>
      <c r="G90" s="386" t="s">
        <v>64</v>
      </c>
      <c r="I90" s="312" t="s">
        <v>65</v>
      </c>
    </row>
    <row r="91" spans="1:12" ht="26.25" customHeight="1" x14ac:dyDescent="0.4">
      <c r="A91" s="306" t="s">
        <v>66</v>
      </c>
      <c r="B91" s="307">
        <v>100</v>
      </c>
      <c r="C91" s="387">
        <v>1</v>
      </c>
      <c r="D91" s="477">
        <v>3112026</v>
      </c>
      <c r="E91" s="314">
        <f>IF(ISBLANK(D91),"-",$D$101/$D$98*D91)</f>
        <v>3245869.2564982423</v>
      </c>
      <c r="F91" s="477">
        <v>2970566</v>
      </c>
      <c r="G91" s="315">
        <f>IF(ISBLANK(F91),"-",$D$101/$F$98*F91)</f>
        <v>3290815.6765414421</v>
      </c>
      <c r="I91" s="316"/>
    </row>
    <row r="92" spans="1:12" ht="26.25" customHeight="1" x14ac:dyDescent="0.4">
      <c r="A92" s="306" t="s">
        <v>67</v>
      </c>
      <c r="B92" s="307">
        <v>1</v>
      </c>
      <c r="C92" s="372">
        <v>2</v>
      </c>
      <c r="D92" s="318">
        <v>3120824</v>
      </c>
      <c r="E92" s="319">
        <f>IF(ISBLANK(D92),"-",$D$101/$D$98*D92)</f>
        <v>3255045.6443943176</v>
      </c>
      <c r="F92" s="318">
        <v>2980874</v>
      </c>
      <c r="G92" s="320">
        <f>IF(ISBLANK(F92),"-",$D$101/$F$98*F92)</f>
        <v>3302234.9575787224</v>
      </c>
      <c r="I92" s="509">
        <f>ABS((F96/D96*D95)-F95)/D95</f>
        <v>1.2971009498455956E-2</v>
      </c>
    </row>
    <row r="93" spans="1:12" ht="26.25" customHeight="1" x14ac:dyDescent="0.4">
      <c r="A93" s="306" t="s">
        <v>68</v>
      </c>
      <c r="B93" s="307">
        <v>1</v>
      </c>
      <c r="C93" s="372">
        <v>3</v>
      </c>
      <c r="D93" s="318">
        <v>3117400</v>
      </c>
      <c r="E93" s="319">
        <f>IF(ISBLANK(D93),"-",$D$101/$D$98*D93)</f>
        <v>3251474.3836354907</v>
      </c>
      <c r="F93" s="318">
        <v>2973166</v>
      </c>
      <c r="G93" s="320">
        <f>IF(ISBLANK(F93),"-",$D$101/$F$98*F93)</f>
        <v>3293695.9763762238</v>
      </c>
      <c r="I93" s="509"/>
    </row>
    <row r="94" spans="1:12" ht="27" customHeight="1" x14ac:dyDescent="0.4">
      <c r="A94" s="306" t="s">
        <v>69</v>
      </c>
      <c r="B94" s="307">
        <v>1</v>
      </c>
      <c r="C94" s="388">
        <v>4</v>
      </c>
      <c r="D94" s="323"/>
      <c r="E94" s="324" t="str">
        <f>IF(ISBLANK(D94),"-",$D$101/$D$98*D94)</f>
        <v>-</v>
      </c>
      <c r="F94" s="389"/>
      <c r="G94" s="325" t="str">
        <f>IF(ISBLANK(F94),"-",$D$101/$F$98*F94)</f>
        <v>-</v>
      </c>
      <c r="I94" s="326"/>
    </row>
    <row r="95" spans="1:12" ht="27" customHeight="1" x14ac:dyDescent="0.4">
      <c r="A95" s="306" t="s">
        <v>70</v>
      </c>
      <c r="B95" s="307">
        <v>1</v>
      </c>
      <c r="C95" s="390" t="s">
        <v>71</v>
      </c>
      <c r="D95" s="391">
        <f>AVERAGE(D91:D94)</f>
        <v>3116750</v>
      </c>
      <c r="E95" s="329">
        <f>AVERAGE(E91:E94)</f>
        <v>3250796.428176017</v>
      </c>
      <c r="F95" s="392">
        <f>AVERAGE(F91:F94)</f>
        <v>2974868.6666666665</v>
      </c>
      <c r="G95" s="393">
        <f>AVERAGE(G91:G94)</f>
        <v>3295582.2034987961</v>
      </c>
    </row>
    <row r="96" spans="1:12" ht="26.25" customHeight="1" x14ac:dyDescent="0.4">
      <c r="A96" s="306" t="s">
        <v>72</v>
      </c>
      <c r="B96" s="292">
        <v>1</v>
      </c>
      <c r="C96" s="394" t="s">
        <v>113</v>
      </c>
      <c r="D96" s="395">
        <v>21.37</v>
      </c>
      <c r="E96" s="321"/>
      <c r="F96" s="333">
        <v>20.12</v>
      </c>
    </row>
    <row r="97" spans="1:10" ht="26.25" customHeight="1" x14ac:dyDescent="0.4">
      <c r="A97" s="306" t="s">
        <v>74</v>
      </c>
      <c r="B97" s="292">
        <v>1</v>
      </c>
      <c r="C97" s="396" t="s">
        <v>114</v>
      </c>
      <c r="D97" s="397">
        <f>D96*$B$87</f>
        <v>21.37</v>
      </c>
      <c r="E97" s="336"/>
      <c r="F97" s="335">
        <f>F96*$B$87</f>
        <v>20.12</v>
      </c>
    </row>
    <row r="98" spans="1:10" ht="19.5" customHeight="1" x14ac:dyDescent="0.3">
      <c r="A98" s="306" t="s">
        <v>76</v>
      </c>
      <c r="B98" s="398">
        <f>(B97/B96)*(B95/B94)*(B93/B92)*(B91/B90)*B89</f>
        <v>625</v>
      </c>
      <c r="C98" s="396" t="s">
        <v>115</v>
      </c>
      <c r="D98" s="399">
        <f>D97*$B$83/100</f>
        <v>21.305889999999998</v>
      </c>
      <c r="E98" s="339"/>
      <c r="F98" s="338">
        <f>F97*$B$83/100</f>
        <v>20.059640000000002</v>
      </c>
    </row>
    <row r="99" spans="1:10" ht="19.5" customHeight="1" x14ac:dyDescent="0.3">
      <c r="A99" s="510" t="s">
        <v>78</v>
      </c>
      <c r="B99" s="524"/>
      <c r="C99" s="396" t="s">
        <v>116</v>
      </c>
      <c r="D99" s="400">
        <f>D98/$B$98</f>
        <v>3.4089424E-2</v>
      </c>
      <c r="E99" s="339"/>
      <c r="F99" s="342">
        <f>F98/$B$98</f>
        <v>3.2095424000000004E-2</v>
      </c>
      <c r="G99" s="401"/>
      <c r="H99" s="331"/>
    </row>
    <row r="100" spans="1:10" ht="19.5" customHeight="1" x14ac:dyDescent="0.3">
      <c r="A100" s="512"/>
      <c r="B100" s="525"/>
      <c r="C100" s="396" t="s">
        <v>80</v>
      </c>
      <c r="D100" s="402">
        <f>$B$56/$B$116</f>
        <v>3.5555555555555556E-2</v>
      </c>
      <c r="F100" s="347"/>
      <c r="G100" s="403"/>
      <c r="H100" s="331"/>
    </row>
    <row r="101" spans="1:10" ht="18.75" x14ac:dyDescent="0.3">
      <c r="C101" s="396" t="s">
        <v>81</v>
      </c>
      <c r="D101" s="397">
        <f>D100*$B$98</f>
        <v>22.222222222222221</v>
      </c>
      <c r="F101" s="347"/>
      <c r="G101" s="401"/>
      <c r="H101" s="331"/>
    </row>
    <row r="102" spans="1:10" ht="19.5" customHeight="1" x14ac:dyDescent="0.3">
      <c r="C102" s="404" t="s">
        <v>82</v>
      </c>
      <c r="D102" s="405">
        <f>D101/B34</f>
        <v>22.222222222222221</v>
      </c>
      <c r="F102" s="351"/>
      <c r="G102" s="401"/>
      <c r="H102" s="331"/>
      <c r="J102" s="406"/>
    </row>
    <row r="103" spans="1:10" ht="18.75" x14ac:dyDescent="0.3">
      <c r="C103" s="407" t="s">
        <v>117</v>
      </c>
      <c r="D103" s="408">
        <f>AVERAGE(E91:E94,G91:G94)</f>
        <v>3273189.3158374061</v>
      </c>
      <c r="F103" s="351"/>
      <c r="G103" s="409"/>
      <c r="H103" s="331"/>
      <c r="J103" s="410"/>
    </row>
    <row r="104" spans="1:10" ht="18.75" x14ac:dyDescent="0.3">
      <c r="C104" s="374" t="s">
        <v>84</v>
      </c>
      <c r="D104" s="411">
        <f>STDEV(E91:E94,G91:G94)/D103</f>
        <v>7.6341163613809519E-3</v>
      </c>
      <c r="F104" s="351"/>
      <c r="G104" s="401"/>
      <c r="H104" s="331"/>
      <c r="J104" s="410"/>
    </row>
    <row r="105" spans="1:10" ht="19.5" customHeight="1" x14ac:dyDescent="0.3">
      <c r="C105" s="376" t="s">
        <v>20</v>
      </c>
      <c r="D105" s="412">
        <f>COUNT(E91:E94,G91:G94)</f>
        <v>6</v>
      </c>
      <c r="F105" s="351"/>
      <c r="G105" s="401"/>
      <c r="H105" s="331"/>
      <c r="J105" s="410"/>
    </row>
    <row r="106" spans="1:10" ht="19.5" customHeight="1" x14ac:dyDescent="0.3">
      <c r="A106" s="355"/>
      <c r="B106" s="355"/>
      <c r="C106" s="355"/>
      <c r="D106" s="355"/>
      <c r="E106" s="355"/>
    </row>
    <row r="107" spans="1:10" ht="27" customHeight="1" x14ac:dyDescent="0.4">
      <c r="A107" s="304" t="s">
        <v>118</v>
      </c>
      <c r="B107" s="305">
        <v>900</v>
      </c>
      <c r="C107" s="451" t="s">
        <v>119</v>
      </c>
      <c r="D107" s="451" t="s">
        <v>63</v>
      </c>
      <c r="E107" s="451" t="s">
        <v>120</v>
      </c>
      <c r="F107" s="413" t="s">
        <v>121</v>
      </c>
    </row>
    <row r="108" spans="1:10" ht="26.25" customHeight="1" x14ac:dyDescent="0.4">
      <c r="A108" s="306" t="s">
        <v>122</v>
      </c>
      <c r="B108" s="307">
        <v>10</v>
      </c>
      <c r="C108" s="456">
        <v>1</v>
      </c>
      <c r="D108" s="457">
        <v>3195513</v>
      </c>
      <c r="E108" s="431">
        <f t="shared" ref="E108:E113" si="1">IF(ISBLANK(D108),"-",D108/$D$103*$D$100*$B$116)</f>
        <v>156.20302728172467</v>
      </c>
      <c r="F108" s="458">
        <f t="shared" ref="F108:F113" si="2">IF(ISBLANK(D108), "-", (E108/$B$56)*100)</f>
        <v>97.626892051077917</v>
      </c>
    </row>
    <row r="109" spans="1:10" ht="26.25" customHeight="1" x14ac:dyDescent="0.4">
      <c r="A109" s="306" t="s">
        <v>95</v>
      </c>
      <c r="B109" s="307">
        <v>50</v>
      </c>
      <c r="C109" s="452">
        <v>2</v>
      </c>
      <c r="D109" s="454">
        <v>3208318</v>
      </c>
      <c r="E109" s="432">
        <f t="shared" si="1"/>
        <v>156.82896113470613</v>
      </c>
      <c r="F109" s="459">
        <f t="shared" si="2"/>
        <v>98.01810070919133</v>
      </c>
    </row>
    <row r="110" spans="1:10" ht="26.25" customHeight="1" x14ac:dyDescent="0.4">
      <c r="A110" s="306" t="s">
        <v>96</v>
      </c>
      <c r="B110" s="307">
        <v>1</v>
      </c>
      <c r="C110" s="452">
        <v>3</v>
      </c>
      <c r="D110" s="454">
        <v>3183588</v>
      </c>
      <c r="E110" s="432">
        <f t="shared" si="1"/>
        <v>155.62010957795235</v>
      </c>
      <c r="F110" s="459">
        <f t="shared" si="2"/>
        <v>97.262568486220218</v>
      </c>
    </row>
    <row r="111" spans="1:10" ht="26.25" customHeight="1" x14ac:dyDescent="0.4">
      <c r="A111" s="306" t="s">
        <v>97</v>
      </c>
      <c r="B111" s="307">
        <v>1</v>
      </c>
      <c r="C111" s="452">
        <v>4</v>
      </c>
      <c r="D111" s="454">
        <v>3253901</v>
      </c>
      <c r="E111" s="432">
        <f t="shared" si="1"/>
        <v>159.05714878175465</v>
      </c>
      <c r="F111" s="459">
        <f t="shared" si="2"/>
        <v>99.410717988596659</v>
      </c>
    </row>
    <row r="112" spans="1:10" ht="26.25" customHeight="1" x14ac:dyDescent="0.4">
      <c r="A112" s="306" t="s">
        <v>98</v>
      </c>
      <c r="B112" s="307">
        <v>1</v>
      </c>
      <c r="C112" s="452">
        <v>5</v>
      </c>
      <c r="D112" s="454">
        <v>3241126</v>
      </c>
      <c r="E112" s="432">
        <f t="shared" si="1"/>
        <v>158.43268138840526</v>
      </c>
      <c r="F112" s="459">
        <f t="shared" si="2"/>
        <v>99.020425867753275</v>
      </c>
    </row>
    <row r="113" spans="1:10" ht="27" customHeight="1" x14ac:dyDescent="0.4">
      <c r="A113" s="306" t="s">
        <v>100</v>
      </c>
      <c r="B113" s="307">
        <v>1</v>
      </c>
      <c r="C113" s="453">
        <v>6</v>
      </c>
      <c r="D113" s="455">
        <v>3225936</v>
      </c>
      <c r="E113" s="433">
        <f t="shared" si="1"/>
        <v>157.69016399466932</v>
      </c>
      <c r="F113" s="460">
        <f t="shared" si="2"/>
        <v>98.556352496668325</v>
      </c>
    </row>
    <row r="114" spans="1:10" ht="27" customHeight="1" x14ac:dyDescent="0.4">
      <c r="A114" s="306" t="s">
        <v>101</v>
      </c>
      <c r="B114" s="307">
        <v>1</v>
      </c>
      <c r="C114" s="414"/>
      <c r="D114" s="372"/>
      <c r="E114" s="280"/>
      <c r="F114" s="461"/>
    </row>
    <row r="115" spans="1:10" ht="26.25" customHeight="1" x14ac:dyDescent="0.4">
      <c r="A115" s="306" t="s">
        <v>102</v>
      </c>
      <c r="B115" s="307">
        <v>1</v>
      </c>
      <c r="C115" s="414"/>
      <c r="D115" s="438" t="s">
        <v>71</v>
      </c>
      <c r="E115" s="440">
        <f>AVERAGE(E108:E113)</f>
        <v>157.30534869320206</v>
      </c>
      <c r="F115" s="462">
        <f>AVERAGE(F108:F113)</f>
        <v>98.31584293325129</v>
      </c>
    </row>
    <row r="116" spans="1:10" ht="27" customHeight="1" x14ac:dyDescent="0.4">
      <c r="A116" s="306" t="s">
        <v>103</v>
      </c>
      <c r="B116" s="337">
        <f>(B115/B114)*(B113/B112)*(B111/B110)*(B109/B108)*B107</f>
        <v>4500</v>
      </c>
      <c r="C116" s="415"/>
      <c r="D116" s="439" t="s">
        <v>84</v>
      </c>
      <c r="E116" s="437">
        <f>STDEV(E108:E113)/E115</f>
        <v>8.41913912010437E-3</v>
      </c>
      <c r="F116" s="416">
        <f>STDEV(F108:F113)/F115</f>
        <v>8.41913912010437E-3</v>
      </c>
      <c r="I116" s="280"/>
    </row>
    <row r="117" spans="1:10" ht="27" customHeight="1" x14ac:dyDescent="0.4">
      <c r="A117" s="510" t="s">
        <v>78</v>
      </c>
      <c r="B117" s="511"/>
      <c r="C117" s="417"/>
      <c r="D117" s="376" t="s">
        <v>20</v>
      </c>
      <c r="E117" s="442">
        <f>COUNT(E108:E113)</f>
        <v>6</v>
      </c>
      <c r="F117" s="443">
        <f>COUNT(F108:F113)</f>
        <v>6</v>
      </c>
      <c r="I117" s="280"/>
      <c r="J117" s="410"/>
    </row>
    <row r="118" spans="1:10" ht="26.25" customHeight="1" x14ac:dyDescent="0.3">
      <c r="A118" s="512"/>
      <c r="B118" s="513"/>
      <c r="C118" s="280"/>
      <c r="D118" s="441"/>
      <c r="E118" s="488" t="s">
        <v>123</v>
      </c>
      <c r="F118" s="489"/>
      <c r="G118" s="280"/>
      <c r="H118" s="280"/>
      <c r="I118" s="280"/>
    </row>
    <row r="119" spans="1:10" ht="25.5" customHeight="1" x14ac:dyDescent="0.4">
      <c r="A119" s="426"/>
      <c r="B119" s="302"/>
      <c r="C119" s="280"/>
      <c r="D119" s="439" t="s">
        <v>124</v>
      </c>
      <c r="E119" s="444">
        <f>MIN(E108:E113)</f>
        <v>155.62010957795235</v>
      </c>
      <c r="F119" s="463">
        <f>MIN(F108:F113)</f>
        <v>97.262568486220218</v>
      </c>
      <c r="G119" s="280"/>
      <c r="H119" s="280"/>
      <c r="I119" s="280"/>
    </row>
    <row r="120" spans="1:10" ht="24" customHeight="1" x14ac:dyDescent="0.4">
      <c r="A120" s="426"/>
      <c r="B120" s="302"/>
      <c r="C120" s="280"/>
      <c r="D120" s="348" t="s">
        <v>125</v>
      </c>
      <c r="E120" s="445">
        <f>MAX(E108:E113)</f>
        <v>159.05714878175465</v>
      </c>
      <c r="F120" s="464">
        <f>MAX(F108:F113)</f>
        <v>99.410717988596659</v>
      </c>
      <c r="G120" s="280"/>
      <c r="H120" s="280"/>
      <c r="I120" s="280"/>
    </row>
    <row r="121" spans="1:10" ht="27" customHeight="1" x14ac:dyDescent="0.3">
      <c r="A121" s="426"/>
      <c r="B121" s="302"/>
      <c r="C121" s="280"/>
      <c r="D121" s="280"/>
      <c r="E121" s="280"/>
      <c r="F121" s="372"/>
      <c r="G121" s="280"/>
      <c r="H121" s="280"/>
      <c r="I121" s="280"/>
    </row>
    <row r="122" spans="1:10" ht="25.5" customHeight="1" x14ac:dyDescent="0.3">
      <c r="A122" s="426"/>
      <c r="B122" s="302"/>
      <c r="C122" s="280"/>
      <c r="D122" s="280"/>
      <c r="E122" s="280"/>
      <c r="F122" s="372"/>
      <c r="G122" s="280"/>
      <c r="H122" s="280"/>
      <c r="I122" s="280"/>
    </row>
    <row r="123" spans="1:10" ht="18.75" x14ac:dyDescent="0.3">
      <c r="A123" s="426"/>
      <c r="B123" s="302"/>
      <c r="C123" s="280"/>
      <c r="D123" s="280"/>
      <c r="E123" s="280"/>
      <c r="F123" s="372"/>
      <c r="G123" s="280"/>
      <c r="H123" s="280"/>
      <c r="I123" s="280"/>
    </row>
    <row r="124" spans="1:10" ht="45.75" customHeight="1" x14ac:dyDescent="0.65">
      <c r="A124" s="290" t="s">
        <v>106</v>
      </c>
      <c r="B124" s="378" t="s">
        <v>126</v>
      </c>
      <c r="C124" s="522" t="str">
        <f>B26</f>
        <v>TRIMETHOPRIM</v>
      </c>
      <c r="D124" s="522"/>
      <c r="E124" s="379" t="s">
        <v>127</v>
      </c>
      <c r="F124" s="379"/>
      <c r="G124" s="465">
        <f>F115</f>
        <v>98.31584293325129</v>
      </c>
      <c r="H124" s="280"/>
      <c r="I124" s="280"/>
    </row>
    <row r="125" spans="1:10" ht="45.75" customHeight="1" x14ac:dyDescent="0.65">
      <c r="A125" s="290"/>
      <c r="B125" s="378" t="s">
        <v>128</v>
      </c>
      <c r="C125" s="291" t="s">
        <v>129</v>
      </c>
      <c r="D125" s="465">
        <f>MIN(F108:F113)</f>
        <v>97.262568486220218</v>
      </c>
      <c r="E125" s="390" t="s">
        <v>130</v>
      </c>
      <c r="F125" s="465">
        <f>MAX(F108:F113)</f>
        <v>99.410717988596659</v>
      </c>
      <c r="G125" s="380"/>
      <c r="H125" s="280"/>
      <c r="I125" s="280"/>
    </row>
    <row r="126" spans="1:10" ht="19.5" customHeight="1" x14ac:dyDescent="0.3">
      <c r="A126" s="418"/>
      <c r="B126" s="418"/>
      <c r="C126" s="419"/>
      <c r="D126" s="419"/>
      <c r="E126" s="419"/>
      <c r="F126" s="419"/>
      <c r="G126" s="419"/>
      <c r="H126" s="419"/>
    </row>
    <row r="127" spans="1:10" ht="18.75" x14ac:dyDescent="0.3">
      <c r="B127" s="523" t="s">
        <v>26</v>
      </c>
      <c r="C127" s="523"/>
      <c r="E127" s="385" t="s">
        <v>27</v>
      </c>
      <c r="F127" s="420"/>
      <c r="G127" s="523" t="s">
        <v>28</v>
      </c>
      <c r="H127" s="523"/>
    </row>
    <row r="128" spans="1:10" ht="69.95" customHeight="1" x14ac:dyDescent="0.3">
      <c r="A128" s="421" t="s">
        <v>29</v>
      </c>
      <c r="B128" s="422"/>
      <c r="C128" s="422"/>
      <c r="E128" s="422"/>
      <c r="F128" s="280"/>
      <c r="G128" s="423"/>
      <c r="H128" s="423"/>
    </row>
    <row r="129" spans="1:9" ht="69.95" customHeight="1" x14ac:dyDescent="0.3">
      <c r="A129" s="421" t="s">
        <v>30</v>
      </c>
      <c r="B129" s="424"/>
      <c r="C129" s="424"/>
      <c r="E129" s="424"/>
      <c r="F129" s="280"/>
      <c r="G129" s="425"/>
      <c r="H129" s="425"/>
    </row>
    <row r="130" spans="1:9" ht="18.75" x14ac:dyDescent="0.3">
      <c r="A130" s="371"/>
      <c r="B130" s="371"/>
      <c r="C130" s="372"/>
      <c r="D130" s="372"/>
      <c r="E130" s="372"/>
      <c r="F130" s="375"/>
      <c r="G130" s="372"/>
      <c r="H130" s="372"/>
      <c r="I130" s="280"/>
    </row>
    <row r="131" spans="1:9" ht="18.75" x14ac:dyDescent="0.3">
      <c r="A131" s="371"/>
      <c r="B131" s="371"/>
      <c r="C131" s="372"/>
      <c r="D131" s="372"/>
      <c r="E131" s="372"/>
      <c r="F131" s="375"/>
      <c r="G131" s="372"/>
      <c r="H131" s="372"/>
      <c r="I131" s="280"/>
    </row>
    <row r="132" spans="1:9" ht="18.75" x14ac:dyDescent="0.3">
      <c r="A132" s="371"/>
      <c r="B132" s="371"/>
      <c r="C132" s="372"/>
      <c r="D132" s="372"/>
      <c r="E132" s="372"/>
      <c r="F132" s="375"/>
      <c r="G132" s="372"/>
      <c r="H132" s="372"/>
      <c r="I132" s="280"/>
    </row>
    <row r="133" spans="1:9" ht="18.75" x14ac:dyDescent="0.3">
      <c r="A133" s="371"/>
      <c r="B133" s="371"/>
      <c r="C133" s="372"/>
      <c r="D133" s="372"/>
      <c r="E133" s="372"/>
      <c r="F133" s="375"/>
      <c r="G133" s="372"/>
      <c r="H133" s="372"/>
      <c r="I133" s="280"/>
    </row>
    <row r="134" spans="1:9" ht="18.75" x14ac:dyDescent="0.3">
      <c r="A134" s="371"/>
      <c r="B134" s="371"/>
      <c r="C134" s="372"/>
      <c r="D134" s="372"/>
      <c r="E134" s="372"/>
      <c r="F134" s="375"/>
      <c r="G134" s="372"/>
      <c r="H134" s="372"/>
      <c r="I134" s="280"/>
    </row>
    <row r="135" spans="1:9" ht="18.75" x14ac:dyDescent="0.3">
      <c r="A135" s="371"/>
      <c r="B135" s="371"/>
      <c r="C135" s="372"/>
      <c r="D135" s="372"/>
      <c r="E135" s="372"/>
      <c r="F135" s="375"/>
      <c r="G135" s="372"/>
      <c r="H135" s="372"/>
      <c r="I135" s="280"/>
    </row>
    <row r="136" spans="1:9" ht="18.75" x14ac:dyDescent="0.3">
      <c r="A136" s="371"/>
      <c r="B136" s="371"/>
      <c r="C136" s="372"/>
      <c r="D136" s="372"/>
      <c r="E136" s="372"/>
      <c r="F136" s="375"/>
      <c r="G136" s="372"/>
      <c r="H136" s="372"/>
      <c r="I136" s="280"/>
    </row>
    <row r="137" spans="1:9" ht="18.75" x14ac:dyDescent="0.3">
      <c r="A137" s="371"/>
      <c r="B137" s="371"/>
      <c r="C137" s="372"/>
      <c r="D137" s="372"/>
      <c r="E137" s="372"/>
      <c r="F137" s="375"/>
      <c r="G137" s="372"/>
      <c r="H137" s="372"/>
      <c r="I137" s="280"/>
    </row>
    <row r="138" spans="1:9" ht="18.75" x14ac:dyDescent="0.3">
      <c r="A138" s="371"/>
      <c r="B138" s="371"/>
      <c r="C138" s="372"/>
      <c r="D138" s="372"/>
      <c r="E138" s="372"/>
      <c r="F138" s="375"/>
      <c r="G138" s="372"/>
      <c r="H138" s="372"/>
      <c r="I138" s="28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2017-11-13T06:08:10Z</cp:lastPrinted>
  <dcterms:created xsi:type="dcterms:W3CDTF">2005-07-05T10:19:27Z</dcterms:created>
  <dcterms:modified xsi:type="dcterms:W3CDTF">2017-11-13T06:09:32Z</dcterms:modified>
</cp:coreProperties>
</file>