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11445" activeTab="2"/>
  </bookViews>
  <sheets>
    <sheet name="SST" sheetId="1" r:id="rId1"/>
    <sheet name="Uniformity" sheetId="2" r:id="rId2"/>
    <sheet name="Acyclovir " sheetId="4" r:id="rId3"/>
  </sheets>
  <definedNames>
    <definedName name="_xlnm.Print_Area" localSheetId="2">'Acyclovir '!$A$1:$I$129</definedName>
    <definedName name="_xlnm.Print_Area" localSheetId="0">SST!$A$15:$G$61</definedName>
    <definedName name="_xlnm.Print_Area" localSheetId="1">Uniformity!$A$12:$F$54</definedName>
  </definedNames>
  <calcPr calcId="144525"/>
</workbook>
</file>

<file path=xl/calcChain.xml><?xml version="1.0" encoding="utf-8"?>
<calcChain xmlns="http://schemas.openxmlformats.org/spreadsheetml/2006/main">
  <c r="B21" i="1" l="1"/>
  <c r="C124" i="4"/>
  <c r="B116" i="4"/>
  <c r="D100" i="4" s="1"/>
  <c r="B98" i="4"/>
  <c r="F95" i="4"/>
  <c r="D95" i="4"/>
  <c r="B87" i="4"/>
  <c r="F97" i="4" s="1"/>
  <c r="B81" i="4"/>
  <c r="B83" i="4" s="1"/>
  <c r="B80" i="4"/>
  <c r="B79" i="4"/>
  <c r="C76" i="4"/>
  <c r="B68" i="4"/>
  <c r="B69" i="4" s="1"/>
  <c r="B57" i="4"/>
  <c r="C56" i="4"/>
  <c r="B55" i="4"/>
  <c r="B45" i="4"/>
  <c r="D48" i="4" s="1"/>
  <c r="F42" i="4"/>
  <c r="D42" i="4"/>
  <c r="B34" i="4"/>
  <c r="F44" i="4" s="1"/>
  <c r="F45" i="4" s="1"/>
  <c r="B30" i="4"/>
  <c r="D50" i="2"/>
  <c r="C50" i="2"/>
  <c r="C49" i="2"/>
  <c r="C46" i="2"/>
  <c r="B49" i="2" s="1"/>
  <c r="C45" i="2"/>
  <c r="D43" i="2"/>
  <c r="D42" i="2"/>
  <c r="D41" i="2"/>
  <c r="D39" i="2"/>
  <c r="D35" i="2"/>
  <c r="D34" i="2"/>
  <c r="D33" i="2"/>
  <c r="D31" i="2"/>
  <c r="D27" i="2"/>
  <c r="D26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4" l="1"/>
  <c r="D101" i="4"/>
  <c r="D102" i="4" s="1"/>
  <c r="I39" i="4"/>
  <c r="D44" i="4"/>
  <c r="D45" i="4" s="1"/>
  <c r="F98" i="4"/>
  <c r="F99" i="4" s="1"/>
  <c r="G39" i="4"/>
  <c r="F46" i="4"/>
  <c r="G41" i="4"/>
  <c r="D97" i="4"/>
  <c r="D98" i="4" s="1"/>
  <c r="D99" i="4" s="1"/>
  <c r="D24" i="2"/>
  <c r="D32" i="2"/>
  <c r="D40" i="2"/>
  <c r="D49" i="2"/>
  <c r="G38" i="4"/>
  <c r="D28" i="2"/>
  <c r="D36" i="2"/>
  <c r="D49" i="4"/>
  <c r="G40" i="4"/>
  <c r="D29" i="2"/>
  <c r="D37" i="2"/>
  <c r="D30" i="2"/>
  <c r="D38" i="2"/>
  <c r="G93" i="4" l="1"/>
  <c r="E39" i="4"/>
  <c r="E38" i="4"/>
  <c r="D46" i="4"/>
  <c r="E41" i="4"/>
  <c r="E40" i="4"/>
  <c r="G94" i="4"/>
  <c r="G92" i="4"/>
  <c r="E91" i="4"/>
  <c r="G91" i="4"/>
  <c r="E93" i="4"/>
  <c r="E92" i="4"/>
  <c r="G42" i="4"/>
  <c r="E94" i="4"/>
  <c r="G95" i="4" l="1"/>
  <c r="D103" i="4"/>
  <c r="E113" i="4" s="1"/>
  <c r="F113" i="4" s="1"/>
  <c r="D50" i="4"/>
  <c r="D51" i="4" s="1"/>
  <c r="D52" i="4"/>
  <c r="E42" i="4"/>
  <c r="E95" i="4"/>
  <c r="D105" i="4"/>
  <c r="D104" i="4" l="1"/>
  <c r="E110" i="4"/>
  <c r="F110" i="4" s="1"/>
  <c r="E108" i="4"/>
  <c r="F108" i="4" s="1"/>
  <c r="E112" i="4"/>
  <c r="F112" i="4" s="1"/>
  <c r="E111" i="4"/>
  <c r="F111" i="4" s="1"/>
  <c r="E109" i="4"/>
  <c r="F109" i="4" s="1"/>
  <c r="G70" i="4"/>
  <c r="H70" i="4" s="1"/>
  <c r="G71" i="4"/>
  <c r="H71" i="4" s="1"/>
  <c r="G68" i="4"/>
  <c r="H68" i="4" s="1"/>
  <c r="G64" i="4"/>
  <c r="H64" i="4" s="1"/>
  <c r="G61" i="4"/>
  <c r="H61" i="4" s="1"/>
  <c r="G62" i="4"/>
  <c r="H62" i="4" s="1"/>
  <c r="G66" i="4"/>
  <c r="H66" i="4" s="1"/>
  <c r="G69" i="4"/>
  <c r="H69" i="4" s="1"/>
  <c r="G65" i="4"/>
  <c r="H65" i="4" s="1"/>
  <c r="G67" i="4"/>
  <c r="H67" i="4" s="1"/>
  <c r="G63" i="4"/>
  <c r="H63" i="4" s="1"/>
  <c r="G60" i="4"/>
  <c r="H60" i="4" s="1"/>
  <c r="E120" i="4" l="1"/>
  <c r="E119" i="4"/>
  <c r="E115" i="4"/>
  <c r="E116" i="4" s="1"/>
  <c r="E117" i="4"/>
  <c r="G72" i="4"/>
  <c r="G73" i="4" s="1"/>
  <c r="G74" i="4"/>
  <c r="H72" i="4"/>
  <c r="H74" i="4"/>
  <c r="F125" i="4"/>
  <c r="F117" i="4"/>
  <c r="F120" i="4"/>
  <c r="D125" i="4"/>
  <c r="F115" i="4"/>
  <c r="F119" i="4"/>
  <c r="G124" i="4" l="1"/>
  <c r="F116" i="4"/>
  <c r="G76" i="4"/>
  <c r="H73" i="4"/>
</calcChain>
</file>

<file path=xl/sharedStrings.xml><?xml version="1.0" encoding="utf-8"?>
<sst xmlns="http://schemas.openxmlformats.org/spreadsheetml/2006/main" count="239" uniqueCount="135">
  <si>
    <t>HPLC System Suitability Report</t>
  </si>
  <si>
    <t>Analysis Data</t>
  </si>
  <si>
    <t>Assay</t>
  </si>
  <si>
    <t>Sample(s)</t>
  </si>
  <si>
    <t>Reference Substance:</t>
  </si>
  <si>
    <t>UNIVIR TABLETS</t>
  </si>
  <si>
    <t>% age Purity:</t>
  </si>
  <si>
    <t>NDQB201711259</t>
  </si>
  <si>
    <t>Weight (mg):</t>
  </si>
  <si>
    <t>Aciclovir BP 400 mg</t>
  </si>
  <si>
    <t>Standard Conc (mg/mL):</t>
  </si>
  <si>
    <t>Each tablet contains: Acyclovir USP 400 mg.</t>
  </si>
  <si>
    <t>2017-11-02 13:30:17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</si>
  <si>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</si>
  <si>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</si>
  <si>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</si>
  <si>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</si>
  <si>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</si>
  <si>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</si>
  <si>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</si>
  <si>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</si>
  <si>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</si>
  <si>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</si>
  <si>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</si>
  <si>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</si>
  <si>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</si>
  <si>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</si>
  <si>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</si>
  <si>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</si>
  <si>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</si>
  <si>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</si>
  <si>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</si>
  <si>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</si>
  <si>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</si>
  <si>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</si>
  <si>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</si>
  <si>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</si>
  <si>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</si>
  <si>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</si>
  <si>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</si>
  <si>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</si>
  <si>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</si>
  <si>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</si>
  <si>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</si>
  <si>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</si>
  <si>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</si>
  <si>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</si>
  <si>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</si>
  <si>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</si>
  <si>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</si>
  <si>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</si>
  <si>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</si>
  <si>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</si>
  <si>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</si>
  <si>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</si>
  <si>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</si>
  <si>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</si>
  <si>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</si>
  <si>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</si>
  <si>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</si>
  <si>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</si>
  <si>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</si>
  <si>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</si>
  <si>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</si>
  <si>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</si>
  <si>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</si>
  <si>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</si>
  <si>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</si>
  <si>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</si>
  <si>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</si>
  <si>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</si>
  <si>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</si>
  <si>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</si>
  <si>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</si>
  <si>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</si>
  <si>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</si>
  <si>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</si>
  <si>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</si>
  <si>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</si>
  <si>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</si>
  <si>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</si>
  <si>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</si>
  <si>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</si>
  <si>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</si>
  <si>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</si>
  <si>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</si>
  <si>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</si>
  <si>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</si>
  <si>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</si>
  <si>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>If correction for water content is not needed please enter 0</t>
  </si>
  <si>
    <t>Medium Volume (mL):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</si>
  <si>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</si>
  <si>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</si>
  <si>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</si>
  <si>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</si>
  <si>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</si>
  <si>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</si>
  <si>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</si>
  <si>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</si>
  <si>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</si>
  <si>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</si>
  <si>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</si>
  <si>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 xml:space="preserve">The amount  of </t>
  </si>
  <si>
    <t xml:space="preserve">dissolved as a percentage of the stated  label claim is </t>
  </si>
  <si>
    <t>Initial Standard dilution volume (mL):</t>
  </si>
  <si>
    <t xml:space="preserve">Std Response Deviation </t>
  </si>
  <si>
    <t>Mass of RS (mg):</t>
  </si>
  <si>
    <t>Mass of WRS as free base (mg):</t>
  </si>
  <si>
    <t>Desired Concentration (mg/mL):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</si>
  <si>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</si>
  <si>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</si>
  <si>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</si>
  <si>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</si>
  <si>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</si>
  <si>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</si>
  <si>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t>Assay Smp B</t>
  </si>
  <si>
    <t>Assay Smp C</t>
  </si>
  <si>
    <t>Desired Sample Weight (mg):</t>
  </si>
  <si>
    <t>Comment: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</si>
  <si>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</si>
  <si>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</si>
  <si>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Purity correction:</t>
  </si>
  <si>
    <t>Conc (mg/mL):</t>
  </si>
  <si>
    <t>Average Normalised Peak Area:</t>
  </si>
  <si>
    <t>Unit No.</t>
  </si>
  <si>
    <t>Range</t>
  </si>
  <si>
    <t>Minimum:</t>
  </si>
  <si>
    <t>Maximum:</t>
  </si>
  <si>
    <t>Range:</t>
  </si>
  <si>
    <t>Minimum</t>
  </si>
  <si>
    <t>Maximum</t>
  </si>
  <si>
    <t xml:space="preserve">Acyclovir </t>
  </si>
  <si>
    <t>A32-2</t>
  </si>
  <si>
    <t>RUTTO KENNEDY</t>
  </si>
  <si>
    <t>8TH NOV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</si>
</sst>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"/>
    <numFmt numFmtId="167" formatCode="[$-409]d/mmm/yy;@"/>
    <numFmt numFmtId="168" formatCode="0.0000\ &quot;mg&quot;"/>
    <numFmt numFmtId="169" formatCode="0.000"/>
    <numFmt numFmtId="170" formatCode="0.0\ &quot;%&quot;"/>
    <numFmt numFmtId="171" formatCode="dd\-mmm\-yyyy"/>
    <numFmt numFmtId="172" formatCode="0.0\ &quot;mg&quot;"/>
    <numFmt numFmtId="173" formatCode="0.00\ &quot;%&quot;"/>
    <numFmt numFmtId="174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sz val="14"/>
      <color rgb="FF000000"/>
      <name val="Arial"/>
    </font>
    <font>
      <i/>
      <sz val="14"/>
      <color rgb="FF000000"/>
      <name val="Arial"/>
    </font>
    <font>
      <b/>
      <i/>
      <sz val="14"/>
      <color rgb="FF000000"/>
      <name val="Book Antiqua"/>
    </font>
    <font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14"/>
      <color rgb="FF000000"/>
      <name val="Calibri"/>
    </font>
    <font>
      <b/>
      <sz val="36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4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71" fontId="13" fillId="3" borderId="0" xfId="0" applyNumberFormat="1" applyFont="1" applyFill="1" applyAlignment="1" applyProtection="1">
      <alignment horizontal="center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4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21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8" fillId="2" borderId="0" xfId="0" applyFont="1" applyFill="1"/>
    <xf numFmtId="2" fontId="14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5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left" vertical="center" wrapText="1"/>
    </xf>
    <xf numFmtId="168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4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right"/>
    </xf>
    <xf numFmtId="0" fontId="14" fillId="3" borderId="30" xfId="0" applyFont="1" applyFill="1" applyBorder="1" applyAlignment="1" applyProtection="1">
      <alignment horizontal="center"/>
      <protection locked="0"/>
    </xf>
    <xf numFmtId="0" fontId="12" fillId="2" borderId="24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44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4" fillId="3" borderId="29" xfId="0" applyFont="1" applyFill="1" applyBorder="1" applyAlignment="1" applyProtection="1">
      <alignment horizontal="center"/>
      <protection locked="0"/>
    </xf>
    <xf numFmtId="169" fontId="11" fillId="2" borderId="26" xfId="0" applyNumberFormat="1" applyFont="1" applyFill="1" applyBorder="1" applyAlignment="1">
      <alignment horizontal="center"/>
    </xf>
    <xf numFmtId="169" fontId="11" fillId="2" borderId="27" xfId="0" applyNumberFormat="1" applyFont="1" applyFill="1" applyBorder="1" applyAlignment="1">
      <alignment horizontal="center"/>
    </xf>
    <xf numFmtId="0" fontId="15" fillId="2" borderId="13" xfId="0" applyFont="1" applyFill="1" applyBorder="1"/>
    <xf numFmtId="0" fontId="11" fillId="2" borderId="30" xfId="0" applyFont="1" applyFill="1" applyBorder="1" applyAlignment="1">
      <alignment horizontal="center"/>
    </xf>
    <xf numFmtId="0" fontId="14" fillId="3" borderId="22" xfId="0" applyFont="1" applyFill="1" applyBorder="1" applyAlignment="1" applyProtection="1">
      <alignment horizontal="center"/>
      <protection locked="0"/>
    </xf>
    <xf numFmtId="169" fontId="11" fillId="2" borderId="31" xfId="0" applyNumberFormat="1" applyFont="1" applyFill="1" applyBorder="1" applyAlignment="1">
      <alignment horizontal="center"/>
    </xf>
    <xf numFmtId="169" fontId="11" fillId="2" borderId="23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2" xfId="0" applyFont="1" applyFill="1" applyBorder="1" applyAlignment="1">
      <alignment horizontal="center"/>
    </xf>
    <xf numFmtId="0" fontId="14" fillId="3" borderId="33" xfId="0" applyFont="1" applyFill="1" applyBorder="1" applyAlignment="1" applyProtection="1">
      <alignment horizontal="center"/>
      <protection locked="0"/>
    </xf>
    <xf numFmtId="169" fontId="11" fillId="2" borderId="34" xfId="0" applyNumberFormat="1" applyFont="1" applyFill="1" applyBorder="1" applyAlignment="1">
      <alignment horizontal="center"/>
    </xf>
    <xf numFmtId="169" fontId="11" fillId="2" borderId="35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30" xfId="0" applyFont="1" applyFill="1" applyBorder="1" applyAlignment="1">
      <alignment horizontal="right"/>
    </xf>
    <xf numFmtId="1" fontId="12" fillId="6" borderId="36" xfId="0" applyNumberFormat="1" applyFont="1" applyFill="1" applyBorder="1" applyAlignment="1">
      <alignment horizontal="center"/>
    </xf>
    <xf numFmtId="169" fontId="12" fillId="6" borderId="37" xfId="0" applyNumberFormat="1" applyFont="1" applyFill="1" applyBorder="1" applyAlignment="1">
      <alignment horizontal="center"/>
    </xf>
    <xf numFmtId="169" fontId="12" fillId="6" borderId="3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39" xfId="0" applyFont="1" applyFill="1" applyBorder="1" applyAlignment="1">
      <alignment horizontal="right"/>
    </xf>
    <xf numFmtId="0" fontId="14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0" xfId="0" applyFont="1" applyFill="1" applyBorder="1" applyAlignment="1">
      <alignment horizontal="center"/>
    </xf>
    <xf numFmtId="2" fontId="11" fillId="7" borderId="40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0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166" fontId="14" fillId="3" borderId="40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69" fontId="12" fillId="7" borderId="13" xfId="0" applyNumberFormat="1" applyFont="1" applyFill="1" applyBorder="1" applyAlignment="1">
      <alignment horizontal="center"/>
    </xf>
    <xf numFmtId="169" fontId="11" fillId="2" borderId="0" xfId="0" applyNumberFormat="1" applyFont="1" applyFill="1" applyAlignment="1">
      <alignment horizontal="center"/>
    </xf>
    <xf numFmtId="10" fontId="11" fillId="6" borderId="40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4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4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4" fillId="3" borderId="22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4" fillId="3" borderId="42" xfId="0" applyFont="1" applyFill="1" applyBorder="1" applyAlignment="1" applyProtection="1">
      <alignment horizontal="center"/>
      <protection locked="0"/>
    </xf>
    <xf numFmtId="0" fontId="13" fillId="2" borderId="30" xfId="0" applyFont="1" applyFill="1" applyBorder="1" applyAlignment="1">
      <alignment horizontal="center"/>
    </xf>
    <xf numFmtId="2" fontId="13" fillId="2" borderId="43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1" fillId="2" borderId="40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4" fillId="7" borderId="52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4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4" fillId="3" borderId="0" xfId="0" applyFont="1" applyFill="1" applyAlignment="1" applyProtection="1">
      <alignment horizontal="center"/>
      <protection locked="0"/>
    </xf>
    <xf numFmtId="0" fontId="12" fillId="2" borderId="45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1" fillId="2" borderId="46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69" fontId="14" fillId="3" borderId="33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53" xfId="0" applyNumberFormat="1" applyFont="1" applyFill="1" applyBorder="1" applyAlignment="1">
      <alignment horizontal="center"/>
    </xf>
    <xf numFmtId="1" fontId="12" fillId="6" borderId="47" xfId="0" applyNumberFormat="1" applyFont="1" applyFill="1" applyBorder="1" applyAlignment="1">
      <alignment horizontal="center"/>
    </xf>
    <xf numFmtId="169" fontId="12" fillId="6" borderId="15" xfId="0" applyNumberFormat="1" applyFont="1" applyFill="1" applyBorder="1" applyAlignment="1">
      <alignment horizontal="center"/>
    </xf>
    <xf numFmtId="0" fontId="11" fillId="2" borderId="54" xfId="0" applyFont="1" applyFill="1" applyBorder="1" applyAlignment="1">
      <alignment horizontal="right"/>
    </xf>
    <xf numFmtId="0" fontId="14" fillId="3" borderId="48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44" xfId="0" applyNumberFormat="1" applyFont="1" applyFill="1" applyBorder="1" applyAlignment="1">
      <alignment horizontal="center"/>
    </xf>
    <xf numFmtId="166" fontId="11" fillId="6" borderId="44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44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49" xfId="0" applyFont="1" applyFill="1" applyBorder="1" applyAlignment="1">
      <alignment horizontal="right"/>
    </xf>
    <xf numFmtId="2" fontId="11" fillId="7" borderId="27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69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0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/>
    </xf>
    <xf numFmtId="0" fontId="11" fillId="2" borderId="22" xfId="0" applyFont="1" applyFill="1" applyBorder="1"/>
    <xf numFmtId="10" fontId="14" fillId="6" borderId="44" xfId="0" applyNumberFormat="1" applyFont="1" applyFill="1" applyBorder="1" applyAlignment="1">
      <alignment horizontal="center"/>
    </xf>
    <xf numFmtId="0" fontId="11" fillId="2" borderId="42" xfId="0" applyFont="1" applyFill="1" applyBorder="1"/>
    <xf numFmtId="0" fontId="17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7" fillId="2" borderId="0" xfId="0" applyFont="1" applyFill="1" applyAlignment="1">
      <alignment horizontal="right" vertical="center" wrapText="1"/>
    </xf>
    <xf numFmtId="0" fontId="14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2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4" fillId="6" borderId="55" xfId="0" applyNumberFormat="1" applyFont="1" applyFill="1" applyBorder="1" applyAlignment="1">
      <alignment horizontal="center"/>
    </xf>
    <xf numFmtId="2" fontId="14" fillId="7" borderId="32" xfId="0" applyNumberFormat="1" applyFont="1" applyFill="1" applyBorder="1" applyAlignment="1">
      <alignment horizontal="center"/>
    </xf>
    <xf numFmtId="0" fontId="13" fillId="2" borderId="0" xfId="0" applyFont="1" applyFill="1"/>
    <xf numFmtId="10" fontId="14" fillId="6" borderId="55" xfId="0" applyNumberFormat="1" applyFont="1" applyFill="1" applyBorder="1" applyAlignment="1">
      <alignment horizontal="center"/>
    </xf>
    <xf numFmtId="169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4" fillId="7" borderId="50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4" fillId="7" borderId="28" xfId="0" applyFont="1" applyFill="1" applyBorder="1" applyAlignment="1">
      <alignment horizontal="center"/>
    </xf>
    <xf numFmtId="0" fontId="14" fillId="7" borderId="56" xfId="0" applyFont="1" applyFill="1" applyBorder="1" applyAlignment="1">
      <alignment horizontal="center"/>
    </xf>
    <xf numFmtId="2" fontId="14" fillId="6" borderId="55" xfId="0" applyNumberFormat="1" applyFont="1" applyFill="1" applyBorder="1" applyAlignment="1">
      <alignment horizontal="center"/>
    </xf>
    <xf numFmtId="2" fontId="14" fillId="7" borderId="52" xfId="0" applyNumberFormat="1" applyFont="1" applyFill="1" applyBorder="1" applyAlignment="1">
      <alignment horizontal="center"/>
    </xf>
    <xf numFmtId="166" fontId="11" fillId="2" borderId="42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4" fillId="7" borderId="32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30" xfId="0" applyNumberFormat="1" applyFont="1" applyFill="1" applyBorder="1" applyAlignment="1">
      <alignment horizontal="center"/>
    </xf>
    <xf numFmtId="173" fontId="11" fillId="2" borderId="43" xfId="0" applyNumberFormat="1" applyFont="1" applyFill="1" applyBorder="1" applyAlignment="1">
      <alignment horizontal="center"/>
    </xf>
    <xf numFmtId="173" fontId="11" fillId="2" borderId="30" xfId="0" applyNumberFormat="1" applyFont="1" applyFill="1" applyBorder="1" applyAlignment="1">
      <alignment horizontal="center"/>
    </xf>
    <xf numFmtId="170" fontId="14" fillId="7" borderId="48" xfId="0" applyNumberFormat="1" applyFont="1" applyFill="1" applyBorder="1" applyAlignment="1">
      <alignment horizontal="center"/>
    </xf>
    <xf numFmtId="170" fontId="14" fillId="6" borderId="55" xfId="0" applyNumberFormat="1" applyFont="1" applyFill="1" applyBorder="1" applyAlignment="1">
      <alignment horizontal="center"/>
    </xf>
    <xf numFmtId="170" fontId="14" fillId="7" borderId="52" xfId="0" applyNumberFormat="1" applyFont="1" applyFill="1" applyBorder="1" applyAlignment="1">
      <alignment horizontal="center"/>
    </xf>
    <xf numFmtId="174" fontId="22" fillId="2" borderId="0" xfId="0" applyNumberFormat="1" applyFont="1" applyFill="1" applyAlignment="1">
      <alignment horizontal="center"/>
    </xf>
    <xf numFmtId="170" fontId="14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7" fillId="2" borderId="18" xfId="0" applyFont="1" applyFill="1" applyBorder="1" applyAlignment="1">
      <alignment horizontal="center"/>
    </xf>
    <xf numFmtId="0" fontId="17" fillId="2" borderId="19" xfId="0" applyFont="1" applyFill="1" applyBorder="1" applyAlignment="1">
      <alignment horizontal="center"/>
    </xf>
    <xf numFmtId="0" fontId="14" fillId="3" borderId="0" xfId="0" applyFont="1" applyFill="1" applyAlignment="1" applyProtection="1">
      <alignment horizontal="left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12" fillId="2" borderId="45" xfId="0" applyFont="1" applyFill="1" applyBorder="1" applyAlignment="1">
      <alignment horizontal="center"/>
    </xf>
    <xf numFmtId="0" fontId="12" fillId="2" borderId="39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left" vertical="center" wrapText="1"/>
    </xf>
    <xf numFmtId="0" fontId="17" fillId="2" borderId="24" xfId="0" applyFont="1" applyFill="1" applyBorder="1" applyAlignment="1">
      <alignment horizontal="left" vertical="center" wrapText="1"/>
    </xf>
    <xf numFmtId="0" fontId="17" fillId="2" borderId="42" xfId="0" applyFont="1" applyFill="1" applyBorder="1" applyAlignment="1">
      <alignment horizontal="left" vertical="center" wrapText="1"/>
    </xf>
    <xf numFmtId="0" fontId="17" fillId="2" borderId="43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7" fillId="2" borderId="10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7" fillId="2" borderId="18" xfId="0" applyFont="1" applyFill="1" applyBorder="1" applyAlignment="1">
      <alignment horizontal="justify" vertical="center" wrapText="1"/>
    </xf>
    <xf numFmtId="0" fontId="17" fillId="2" borderId="19" xfId="0" applyFont="1" applyFill="1" applyBorder="1" applyAlignment="1">
      <alignment horizontal="justify" vertical="center" wrapText="1"/>
    </xf>
    <xf numFmtId="0" fontId="17" fillId="2" borderId="20" xfId="0" applyFont="1" applyFill="1" applyBorder="1" applyAlignment="1">
      <alignment horizontal="justify" vertical="center" wrapText="1"/>
    </xf>
    <xf numFmtId="0" fontId="12" fillId="2" borderId="45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7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10" fontId="21" fillId="2" borderId="14" xfId="0" applyNumberFormat="1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4" fillId="3" borderId="13" xfId="0" applyNumberFormat="1" applyFont="1" applyFill="1" applyBorder="1" applyAlignment="1" applyProtection="1">
      <alignment horizontal="center" vertical="center"/>
      <protection locked="0"/>
    </xf>
    <xf numFmtId="2" fontId="14" fillId="3" borderId="14" xfId="0" applyNumberFormat="1" applyFont="1" applyFill="1" applyBorder="1" applyAlignment="1" applyProtection="1">
      <alignment horizontal="center" vertical="center"/>
      <protection locked="0"/>
    </xf>
    <xf numFmtId="2" fontId="14" fillId="3" borderId="15" xfId="0" applyNumberFormat="1" applyFont="1" applyFill="1" applyBorder="1" applyAlignment="1" applyProtection="1">
      <alignment horizontal="center" vertical="center"/>
      <protection locked="0"/>
    </xf>
    <xf numFmtId="0" fontId="12" fillId="2" borderId="42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7" fillId="2" borderId="42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169" fontId="14" fillId="3" borderId="13" xfId="0" applyNumberFormat="1" applyFont="1" applyFill="1" applyBorder="1" applyAlignment="1" applyProtection="1">
      <alignment horizontal="center"/>
      <protection locked="0"/>
    </xf>
    <xf numFmtId="169" fontId="14" fillId="3" borderId="14" xfId="0" applyNumberFormat="1" applyFont="1" applyFill="1" applyBorder="1" applyAlignment="1" applyProtection="1">
      <alignment horizontal="center"/>
      <protection locked="0"/>
    </xf>
    <xf numFmtId="169" fontId="14" fillId="3" borderId="15" xfId="0" applyNumberFormat="1" applyFont="1" applyFill="1" applyBorder="1" applyAlignment="1" applyProtection="1">
      <alignment horizontal="center"/>
      <protection locked="0"/>
    </xf>
    <xf numFmtId="169" fontId="14" fillId="3" borderId="22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workbookViewId="0">
      <selection activeCell="C26" sqref="C26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3" t="s">
        <v>0</v>
      </c>
      <c r="B15" s="283"/>
      <c r="C15" s="283"/>
      <c r="D15" s="283"/>
      <c r="E15" s="28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12" t="s">
        <v>131</v>
      </c>
      <c r="C18" s="10"/>
      <c r="D18" s="10"/>
      <c r="E18" s="10"/>
    </row>
    <row r="19" spans="1:6" ht="16.5" customHeight="1" x14ac:dyDescent="0.3">
      <c r="A19" s="11" t="s">
        <v>6</v>
      </c>
      <c r="B19" s="12">
        <v>94.6</v>
      </c>
      <c r="C19" s="10"/>
      <c r="D19" s="10"/>
      <c r="E19" s="10"/>
    </row>
    <row r="20" spans="1:6" ht="16.5" customHeight="1" x14ac:dyDescent="0.3">
      <c r="A20" s="7" t="s">
        <v>8</v>
      </c>
      <c r="B20" s="12">
        <v>11.82</v>
      </c>
      <c r="C20" s="10"/>
      <c r="D20" s="10"/>
      <c r="E20" s="10"/>
    </row>
    <row r="21" spans="1:6" ht="16.5" customHeight="1" x14ac:dyDescent="0.3">
      <c r="A21" s="7" t="s">
        <v>10</v>
      </c>
      <c r="B21" s="13">
        <f>11.82/100</f>
        <v>0.1182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64633004</v>
      </c>
      <c r="C24" s="18">
        <v>11239.04</v>
      </c>
      <c r="D24" s="19">
        <v>1.07</v>
      </c>
      <c r="E24" s="20">
        <v>4.79</v>
      </c>
    </row>
    <row r="25" spans="1:6" ht="16.5" customHeight="1" x14ac:dyDescent="0.3">
      <c r="A25" s="17">
        <v>2</v>
      </c>
      <c r="B25" s="18">
        <v>64595909</v>
      </c>
      <c r="C25" s="18">
        <v>11254.44</v>
      </c>
      <c r="D25" s="19">
        <v>1.07</v>
      </c>
      <c r="E25" s="19">
        <v>4.79</v>
      </c>
    </row>
    <row r="26" spans="1:6" ht="16.5" customHeight="1" x14ac:dyDescent="0.3">
      <c r="A26" s="17">
        <v>3</v>
      </c>
      <c r="B26" s="18">
        <v>64617106</v>
      </c>
      <c r="C26" s="18">
        <v>11122.43</v>
      </c>
      <c r="D26" s="19">
        <v>1.06</v>
      </c>
      <c r="E26" s="19">
        <v>4.79</v>
      </c>
    </row>
    <row r="27" spans="1:6" ht="16.5" customHeight="1" x14ac:dyDescent="0.3">
      <c r="A27" s="17">
        <v>4</v>
      </c>
      <c r="B27" s="18">
        <v>64620856</v>
      </c>
      <c r="C27" s="18">
        <v>11180.82</v>
      </c>
      <c r="D27" s="19">
        <v>1.07</v>
      </c>
      <c r="E27" s="19">
        <v>4.79</v>
      </c>
    </row>
    <row r="28" spans="1:6" ht="16.5" customHeight="1" x14ac:dyDescent="0.3">
      <c r="A28" s="17">
        <v>5</v>
      </c>
      <c r="B28" s="18">
        <v>64604017</v>
      </c>
      <c r="C28" s="18">
        <v>11186.85</v>
      </c>
      <c r="D28" s="19">
        <v>1.07</v>
      </c>
      <c r="E28" s="19">
        <v>4.79</v>
      </c>
    </row>
    <row r="29" spans="1:6" ht="16.5" customHeight="1" x14ac:dyDescent="0.3">
      <c r="A29" s="17">
        <v>6</v>
      </c>
      <c r="B29" s="21">
        <v>64684097</v>
      </c>
      <c r="C29" s="21">
        <v>11164.36</v>
      </c>
      <c r="D29" s="22">
        <v>1.1000000000000001</v>
      </c>
      <c r="E29" s="22">
        <v>4.78</v>
      </c>
    </row>
    <row r="30" spans="1:6" ht="16.5" customHeight="1" x14ac:dyDescent="0.3">
      <c r="A30" s="23" t="s">
        <v>18</v>
      </c>
      <c r="B30" s="24">
        <f>AVERAGE(B24:B29)</f>
        <v>64625831.5</v>
      </c>
      <c r="C30" s="25">
        <f>AVERAGE(C24:C29)</f>
        <v>11191.323333333334</v>
      </c>
      <c r="D30" s="26">
        <f>AVERAGE(D24:D29)</f>
        <v>1.0733333333333335</v>
      </c>
      <c r="E30" s="26">
        <f>AVERAGE(E24:E29)</f>
        <v>4.7883333333333331</v>
      </c>
    </row>
    <row r="31" spans="1:6" ht="16.5" customHeight="1" x14ac:dyDescent="0.3">
      <c r="A31" s="27" t="s">
        <v>19</v>
      </c>
      <c r="B31" s="28">
        <f>(STDEV(B24:B29)/B30)</f>
        <v>4.8531327679159368E-4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4" t="s">
        <v>26</v>
      </c>
      <c r="C59" s="28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 t="s">
        <v>133</v>
      </c>
      <c r="C60" s="48"/>
      <c r="E60" s="48" t="s">
        <v>134</v>
      </c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B26" sqref="B26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8" t="s">
        <v>31</v>
      </c>
      <c r="B11" s="289"/>
      <c r="C11" s="289"/>
      <c r="D11" s="289"/>
      <c r="E11" s="289"/>
      <c r="F11" s="290"/>
      <c r="G11" s="91"/>
    </row>
    <row r="12" spans="1:7" ht="16.5" customHeight="1" x14ac:dyDescent="0.3">
      <c r="A12" s="287" t="s">
        <v>32</v>
      </c>
      <c r="B12" s="287"/>
      <c r="C12" s="287"/>
      <c r="D12" s="287"/>
      <c r="E12" s="287"/>
      <c r="F12" s="287"/>
      <c r="G12" s="90"/>
    </row>
    <row r="14" spans="1:7" ht="16.5" customHeight="1" x14ac:dyDescent="0.3">
      <c r="A14" s="292" t="s">
        <v>33</v>
      </c>
      <c r="B14" s="292"/>
      <c r="C14" s="60" t="s">
        <v>5</v>
      </c>
    </row>
    <row r="15" spans="1:7" ht="16.5" customHeight="1" x14ac:dyDescent="0.3">
      <c r="A15" s="292" t="s">
        <v>34</v>
      </c>
      <c r="B15" s="292"/>
      <c r="C15" s="60" t="s">
        <v>7</v>
      </c>
    </row>
    <row r="16" spans="1:7" ht="16.5" customHeight="1" x14ac:dyDescent="0.3">
      <c r="A16" s="292" t="s">
        <v>35</v>
      </c>
      <c r="B16" s="292"/>
      <c r="C16" s="60" t="s">
        <v>9</v>
      </c>
    </row>
    <row r="17" spans="1:5" ht="16.5" customHeight="1" x14ac:dyDescent="0.3">
      <c r="A17" s="292" t="s">
        <v>36</v>
      </c>
      <c r="B17" s="292"/>
      <c r="C17" s="60" t="s">
        <v>11</v>
      </c>
    </row>
    <row r="18" spans="1:5" ht="16.5" customHeight="1" x14ac:dyDescent="0.3">
      <c r="A18" s="292" t="s">
        <v>37</v>
      </c>
      <c r="B18" s="292"/>
      <c r="C18" s="97" t="s">
        <v>12</v>
      </c>
    </row>
    <row r="19" spans="1:5" ht="16.5" customHeight="1" x14ac:dyDescent="0.3">
      <c r="A19" s="292" t="s">
        <v>38</v>
      </c>
      <c r="B19" s="292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7" t="s">
        <v>1</v>
      </c>
      <c r="B21" s="287"/>
      <c r="C21" s="59" t="s">
        <v>39</v>
      </c>
      <c r="D21" s="66"/>
    </row>
    <row r="22" spans="1:5" ht="15.75" customHeight="1" x14ac:dyDescent="0.3">
      <c r="A22" s="291"/>
      <c r="B22" s="291"/>
      <c r="C22" s="57"/>
      <c r="D22" s="291"/>
      <c r="E22" s="291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475.46</v>
      </c>
      <c r="D24" s="87">
        <f t="shared" ref="D24:D43" si="0">(C24-$C$46)/$C$46</f>
        <v>1.3793441665191856E-2</v>
      </c>
      <c r="E24" s="53"/>
    </row>
    <row r="25" spans="1:5" ht="15.75" customHeight="1" x14ac:dyDescent="0.3">
      <c r="C25" s="95">
        <v>469.37</v>
      </c>
      <c r="D25" s="88">
        <f t="shared" si="0"/>
        <v>8.0811785300788103E-4</v>
      </c>
      <c r="E25" s="53"/>
    </row>
    <row r="26" spans="1:5" ht="15.75" customHeight="1" x14ac:dyDescent="0.3">
      <c r="C26" s="95">
        <v>474.68</v>
      </c>
      <c r="D26" s="88">
        <f t="shared" si="0"/>
        <v>1.2130296743434354E-2</v>
      </c>
      <c r="E26" s="53"/>
    </row>
    <row r="27" spans="1:5" ht="15.75" customHeight="1" x14ac:dyDescent="0.3">
      <c r="C27" s="95">
        <v>465.64</v>
      </c>
      <c r="D27" s="88">
        <f t="shared" si="0"/>
        <v>-7.1451264523199791E-3</v>
      </c>
      <c r="E27" s="53"/>
    </row>
    <row r="28" spans="1:5" ht="15.75" customHeight="1" x14ac:dyDescent="0.3">
      <c r="C28" s="95">
        <v>467.51</v>
      </c>
      <c r="D28" s="88">
        <f t="shared" si="0"/>
        <v>-3.1578431142601769E-3</v>
      </c>
      <c r="E28" s="53"/>
    </row>
    <row r="29" spans="1:5" ht="15.75" customHeight="1" x14ac:dyDescent="0.3">
      <c r="C29" s="95">
        <v>470.54</v>
      </c>
      <c r="D29" s="88">
        <f t="shared" si="0"/>
        <v>3.3028352356442555E-3</v>
      </c>
      <c r="E29" s="53"/>
    </row>
    <row r="30" spans="1:5" ht="15.75" customHeight="1" x14ac:dyDescent="0.3">
      <c r="C30" s="95">
        <v>471.94</v>
      </c>
      <c r="D30" s="88">
        <f t="shared" si="0"/>
        <v>6.2879671464911102E-3</v>
      </c>
      <c r="E30" s="53"/>
    </row>
    <row r="31" spans="1:5" ht="15.75" customHeight="1" x14ac:dyDescent="0.3">
      <c r="C31" s="95">
        <v>466.39</v>
      </c>
      <c r="D31" s="88">
        <f t="shared" si="0"/>
        <v>-5.5459486429377093E-3</v>
      </c>
      <c r="E31" s="53"/>
    </row>
    <row r="32" spans="1:5" ht="15.75" customHeight="1" x14ac:dyDescent="0.3">
      <c r="C32" s="95">
        <v>467.72</v>
      </c>
      <c r="D32" s="88">
        <f t="shared" si="0"/>
        <v>-2.7100733276330638E-3</v>
      </c>
      <c r="E32" s="53"/>
    </row>
    <row r="33" spans="1:7" ht="15.75" customHeight="1" x14ac:dyDescent="0.3">
      <c r="C33" s="95">
        <v>467.66</v>
      </c>
      <c r="D33" s="88">
        <f t="shared" si="0"/>
        <v>-2.8380075523836501E-3</v>
      </c>
      <c r="E33" s="53"/>
    </row>
    <row r="34" spans="1:7" ht="15.75" customHeight="1" x14ac:dyDescent="0.3">
      <c r="C34" s="95">
        <v>467.24</v>
      </c>
      <c r="D34" s="88">
        <f t="shared" si="0"/>
        <v>-3.7335471256377552E-3</v>
      </c>
      <c r="E34" s="53"/>
    </row>
    <row r="35" spans="1:7" ht="15.75" customHeight="1" x14ac:dyDescent="0.3">
      <c r="C35" s="95">
        <v>469.2</v>
      </c>
      <c r="D35" s="88">
        <f t="shared" si="0"/>
        <v>4.456375495478659E-4</v>
      </c>
      <c r="E35" s="53"/>
    </row>
    <row r="36" spans="1:7" ht="15.75" customHeight="1" x14ac:dyDescent="0.3">
      <c r="C36" s="95">
        <v>467.91</v>
      </c>
      <c r="D36" s="88">
        <f t="shared" si="0"/>
        <v>-2.3049482825895605E-3</v>
      </c>
      <c r="E36" s="53"/>
    </row>
    <row r="37" spans="1:7" ht="15.75" customHeight="1" x14ac:dyDescent="0.3">
      <c r="C37" s="95">
        <v>468.37</v>
      </c>
      <c r="D37" s="88">
        <f t="shared" si="0"/>
        <v>-1.3241192261684786E-3</v>
      </c>
      <c r="E37" s="53"/>
    </row>
    <row r="38" spans="1:7" ht="15.75" customHeight="1" x14ac:dyDescent="0.3">
      <c r="C38" s="95">
        <v>469.78</v>
      </c>
      <c r="D38" s="88">
        <f t="shared" si="0"/>
        <v>1.6823350554701205E-3</v>
      </c>
      <c r="E38" s="53"/>
    </row>
    <row r="39" spans="1:7" ht="15.75" customHeight="1" x14ac:dyDescent="0.3">
      <c r="C39" s="95">
        <v>476.28</v>
      </c>
      <c r="D39" s="88">
        <f t="shared" si="0"/>
        <v>1.5541876070116457E-2</v>
      </c>
      <c r="E39" s="53"/>
    </row>
    <row r="40" spans="1:7" ht="15.75" customHeight="1" x14ac:dyDescent="0.3">
      <c r="C40" s="95">
        <v>466.2</v>
      </c>
      <c r="D40" s="88">
        <f t="shared" si="0"/>
        <v>-5.9510736879812122E-3</v>
      </c>
      <c r="E40" s="53"/>
    </row>
    <row r="41" spans="1:7" ht="15.75" customHeight="1" x14ac:dyDescent="0.3">
      <c r="C41" s="95">
        <v>470.32</v>
      </c>
      <c r="D41" s="88">
        <f t="shared" si="0"/>
        <v>2.8337430782253985E-3</v>
      </c>
      <c r="E41" s="53"/>
    </row>
    <row r="42" spans="1:7" ht="15.75" customHeight="1" x14ac:dyDescent="0.3">
      <c r="C42" s="95">
        <v>462.79</v>
      </c>
      <c r="D42" s="88">
        <f t="shared" si="0"/>
        <v>-1.322200212797253E-2</v>
      </c>
      <c r="E42" s="53"/>
    </row>
    <row r="43" spans="1:7" ht="16.5" customHeight="1" x14ac:dyDescent="0.3">
      <c r="C43" s="96">
        <v>464.82</v>
      </c>
      <c r="D43" s="89">
        <f t="shared" si="0"/>
        <v>-8.8935608572445791E-3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9379.82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468.99099999999999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5">
        <f>C46</f>
        <v>468.99099999999999</v>
      </c>
      <c r="C49" s="93">
        <f>-IF(C46&lt;=80,10%,IF(C46&lt;250,7.5%,5%))</f>
        <v>-0.05</v>
      </c>
      <c r="D49" s="81">
        <f>IF(C46&lt;=80,C46*0.9,IF(C46&lt;250,C46*0.925,C46*0.95))</f>
        <v>445.54144999999994</v>
      </c>
    </row>
    <row r="50" spans="1:6" ht="17.25" customHeight="1" x14ac:dyDescent="0.3">
      <c r="B50" s="286"/>
      <c r="C50" s="94">
        <f>IF(C46&lt;=80, 10%, IF(C46&lt;250, 7.5%, 5%))</f>
        <v>0.05</v>
      </c>
      <c r="D50" s="81">
        <f>IF(C46&lt;=80, C46*1.1, IF(C46&lt;250, C46*1.075, C46*1.05))</f>
        <v>492.44055000000003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7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0" zoomScaleNormal="40" zoomScalePageLayoutView="50" workbookViewId="0">
      <selection activeCell="A23" sqref="A2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07" t="s">
        <v>45</v>
      </c>
      <c r="B1" s="307"/>
      <c r="C1" s="307"/>
      <c r="D1" s="307"/>
      <c r="E1" s="307"/>
      <c r="F1" s="307"/>
      <c r="G1" s="307"/>
      <c r="H1" s="307"/>
      <c r="I1" s="307"/>
    </row>
    <row r="2" spans="1:9" ht="18.75" customHeight="1" x14ac:dyDescent="0.25">
      <c r="A2" s="307"/>
      <c r="B2" s="307"/>
      <c r="C2" s="307"/>
      <c r="D2" s="307"/>
      <c r="E2" s="307"/>
      <c r="F2" s="307"/>
      <c r="G2" s="307"/>
      <c r="H2" s="307"/>
      <c r="I2" s="307"/>
    </row>
    <row r="3" spans="1:9" ht="18.75" customHeight="1" x14ac:dyDescent="0.25">
      <c r="A3" s="307"/>
      <c r="B3" s="307"/>
      <c r="C3" s="307"/>
      <c r="D3" s="307"/>
      <c r="E3" s="307"/>
      <c r="F3" s="307"/>
      <c r="G3" s="307"/>
      <c r="H3" s="307"/>
      <c r="I3" s="307"/>
    </row>
    <row r="4" spans="1:9" ht="18.75" customHeight="1" x14ac:dyDescent="0.25">
      <c r="A4" s="307"/>
      <c r="B4" s="307"/>
      <c r="C4" s="307"/>
      <c r="D4" s="307"/>
      <c r="E4" s="307"/>
      <c r="F4" s="307"/>
      <c r="G4" s="307"/>
      <c r="H4" s="307"/>
      <c r="I4" s="307"/>
    </row>
    <row r="5" spans="1:9" ht="18.75" customHeight="1" x14ac:dyDescent="0.25">
      <c r="A5" s="307"/>
      <c r="B5" s="307"/>
      <c r="C5" s="307"/>
      <c r="D5" s="307"/>
      <c r="E5" s="307"/>
      <c r="F5" s="307"/>
      <c r="G5" s="307"/>
      <c r="H5" s="307"/>
      <c r="I5" s="307"/>
    </row>
    <row r="6" spans="1:9" ht="18.75" customHeight="1" x14ac:dyDescent="0.25">
      <c r="A6" s="307"/>
      <c r="B6" s="307"/>
      <c r="C6" s="307"/>
      <c r="D6" s="307"/>
      <c r="E6" s="307"/>
      <c r="F6" s="307"/>
      <c r="G6" s="307"/>
      <c r="H6" s="307"/>
      <c r="I6" s="307"/>
    </row>
    <row r="7" spans="1:9" ht="18.75" customHeight="1" x14ac:dyDescent="0.25">
      <c r="A7" s="307"/>
      <c r="B7" s="307"/>
      <c r="C7" s="307"/>
      <c r="D7" s="307"/>
      <c r="E7" s="307"/>
      <c r="F7" s="307"/>
      <c r="G7" s="307"/>
      <c r="H7" s="307"/>
      <c r="I7" s="307"/>
    </row>
    <row r="8" spans="1:9" x14ac:dyDescent="0.25">
      <c r="A8" s="308" t="s">
        <v>46</v>
      </c>
      <c r="B8" s="308"/>
      <c r="C8" s="308"/>
      <c r="D8" s="308"/>
      <c r="E8" s="308"/>
      <c r="F8" s="308"/>
      <c r="G8" s="308"/>
      <c r="H8" s="308"/>
      <c r="I8" s="308"/>
    </row>
    <row r="9" spans="1:9" x14ac:dyDescent="0.25">
      <c r="A9" s="308"/>
      <c r="B9" s="308"/>
      <c r="C9" s="308"/>
      <c r="D9" s="308"/>
      <c r="E9" s="308"/>
      <c r="F9" s="308"/>
      <c r="G9" s="308"/>
      <c r="H9" s="308"/>
      <c r="I9" s="308"/>
    </row>
    <row r="10" spans="1:9" x14ac:dyDescent="0.25">
      <c r="A10" s="308"/>
      <c r="B10" s="308"/>
      <c r="C10" s="308"/>
      <c r="D10" s="308"/>
      <c r="E10" s="308"/>
      <c r="F10" s="308"/>
      <c r="G10" s="308"/>
      <c r="H10" s="308"/>
      <c r="I10" s="308"/>
    </row>
    <row r="11" spans="1:9" x14ac:dyDescent="0.25">
      <c r="A11" s="308"/>
      <c r="B11" s="308"/>
      <c r="C11" s="308"/>
      <c r="D11" s="308"/>
      <c r="E11" s="308"/>
      <c r="F11" s="308"/>
      <c r="G11" s="308"/>
      <c r="H11" s="308"/>
      <c r="I11" s="308"/>
    </row>
    <row r="12" spans="1:9" x14ac:dyDescent="0.25">
      <c r="A12" s="308"/>
      <c r="B12" s="308"/>
      <c r="C12" s="308"/>
      <c r="D12" s="308"/>
      <c r="E12" s="308"/>
      <c r="F12" s="308"/>
      <c r="G12" s="308"/>
      <c r="H12" s="308"/>
      <c r="I12" s="308"/>
    </row>
    <row r="13" spans="1:9" x14ac:dyDescent="0.25">
      <c r="A13" s="308"/>
      <c r="B13" s="308"/>
      <c r="C13" s="308"/>
      <c r="D13" s="308"/>
      <c r="E13" s="308"/>
      <c r="F13" s="308"/>
      <c r="G13" s="308"/>
      <c r="H13" s="308"/>
      <c r="I13" s="308"/>
    </row>
    <row r="14" spans="1:9" x14ac:dyDescent="0.25">
      <c r="A14" s="308"/>
      <c r="B14" s="308"/>
      <c r="C14" s="308"/>
      <c r="D14" s="308"/>
      <c r="E14" s="308"/>
      <c r="F14" s="308"/>
      <c r="G14" s="308"/>
      <c r="H14" s="308"/>
      <c r="I14" s="308"/>
    </row>
    <row r="15" spans="1:9" ht="19.5" customHeight="1" x14ac:dyDescent="0.3">
      <c r="A15" s="98"/>
    </row>
    <row r="16" spans="1:9" ht="19.5" customHeight="1" x14ac:dyDescent="0.3">
      <c r="A16" s="293" t="s">
        <v>31</v>
      </c>
      <c r="B16" s="294"/>
      <c r="C16" s="294"/>
      <c r="D16" s="294"/>
      <c r="E16" s="294"/>
      <c r="F16" s="294"/>
      <c r="G16" s="294"/>
      <c r="H16" s="319"/>
    </row>
    <row r="17" spans="1:14" ht="20.25" customHeight="1" x14ac:dyDescent="0.25">
      <c r="A17" s="320" t="s">
        <v>47</v>
      </c>
      <c r="B17" s="320"/>
      <c r="C17" s="320"/>
      <c r="D17" s="320"/>
      <c r="E17" s="320"/>
      <c r="F17" s="320"/>
      <c r="G17" s="320"/>
      <c r="H17" s="320"/>
    </row>
    <row r="18" spans="1:14" ht="26.25" customHeight="1" x14ac:dyDescent="0.4">
      <c r="A18" s="100" t="s">
        <v>33</v>
      </c>
      <c r="B18" s="318" t="s">
        <v>5</v>
      </c>
      <c r="C18" s="318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21" t="s">
        <v>131</v>
      </c>
      <c r="C20" s="321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21" t="s">
        <v>11</v>
      </c>
      <c r="C21" s="321"/>
      <c r="D21" s="321"/>
      <c r="E21" s="321"/>
      <c r="F21" s="321"/>
      <c r="G21" s="321"/>
      <c r="H21" s="321"/>
      <c r="I21" s="104"/>
    </row>
    <row r="22" spans="1:14" ht="26.25" customHeight="1" x14ac:dyDescent="0.4">
      <c r="A22" s="100" t="s">
        <v>37</v>
      </c>
      <c r="B22" s="105">
        <v>43046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43047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18" t="s">
        <v>131</v>
      </c>
      <c r="C26" s="318"/>
    </row>
    <row r="27" spans="1:14" ht="26.25" customHeight="1" x14ac:dyDescent="0.4">
      <c r="A27" s="109" t="s">
        <v>48</v>
      </c>
      <c r="B27" s="296" t="s">
        <v>132</v>
      </c>
      <c r="C27" s="296"/>
    </row>
    <row r="28" spans="1:14" ht="27" customHeight="1" x14ac:dyDescent="0.4">
      <c r="A28" s="109" t="s">
        <v>6</v>
      </c>
      <c r="B28" s="110">
        <v>94.6</v>
      </c>
    </row>
    <row r="29" spans="1:14" s="14" customFormat="1" ht="27" customHeight="1" x14ac:dyDescent="0.4">
      <c r="A29" s="109" t="s">
        <v>49</v>
      </c>
      <c r="B29" s="111">
        <v>0</v>
      </c>
      <c r="C29" s="313" t="s">
        <v>89</v>
      </c>
      <c r="D29" s="314"/>
      <c r="E29" s="314"/>
      <c r="F29" s="314"/>
      <c r="G29" s="315"/>
      <c r="I29" s="112"/>
      <c r="J29" s="112"/>
      <c r="K29" s="112"/>
      <c r="L29" s="112"/>
    </row>
    <row r="30" spans="1:14" s="14" customFormat="1" ht="19.5" customHeight="1" x14ac:dyDescent="0.3">
      <c r="A30" s="109" t="s">
        <v>50</v>
      </c>
      <c r="B30" s="113">
        <f>B28-B29</f>
        <v>94.6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51</v>
      </c>
      <c r="B31" s="116">
        <v>1</v>
      </c>
      <c r="C31" s="297" t="s">
        <v>52</v>
      </c>
      <c r="D31" s="298"/>
      <c r="E31" s="298"/>
      <c r="F31" s="298"/>
      <c r="G31" s="298"/>
      <c r="H31" s="299"/>
      <c r="I31" s="112"/>
      <c r="J31" s="112"/>
      <c r="K31" s="112"/>
      <c r="L31" s="112"/>
    </row>
    <row r="32" spans="1:14" s="14" customFormat="1" ht="27" customHeight="1" x14ac:dyDescent="0.4">
      <c r="A32" s="109" t="s">
        <v>53</v>
      </c>
      <c r="B32" s="116">
        <v>1</v>
      </c>
      <c r="C32" s="297" t="s">
        <v>54</v>
      </c>
      <c r="D32" s="298"/>
      <c r="E32" s="298"/>
      <c r="F32" s="298"/>
      <c r="G32" s="298"/>
      <c r="H32" s="299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55</v>
      </c>
      <c r="B34" s="121">
        <f>B31/B32</f>
        <v>1</v>
      </c>
      <c r="C34" s="99" t="s">
        <v>56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104</v>
      </c>
      <c r="B36" s="123">
        <v>100</v>
      </c>
      <c r="C36" s="99"/>
      <c r="D36" s="300" t="s">
        <v>57</v>
      </c>
      <c r="E36" s="301"/>
      <c r="F36" s="300" t="s">
        <v>58</v>
      </c>
      <c r="G36" s="302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59</v>
      </c>
      <c r="B37" s="125">
        <v>1</v>
      </c>
      <c r="C37" s="126" t="s">
        <v>60</v>
      </c>
      <c r="D37" s="127" t="s">
        <v>61</v>
      </c>
      <c r="E37" s="128" t="s">
        <v>62</v>
      </c>
      <c r="F37" s="127" t="s">
        <v>61</v>
      </c>
      <c r="G37" s="129" t="s">
        <v>62</v>
      </c>
      <c r="I37" s="130" t="s">
        <v>105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63</v>
      </c>
      <c r="B38" s="125">
        <v>1</v>
      </c>
      <c r="C38" s="131">
        <v>1</v>
      </c>
      <c r="D38" s="132">
        <v>64257444</v>
      </c>
      <c r="E38" s="133">
        <f>IF(ISBLANK(D38),"-",$D$48/$D$45*D38)</f>
        <v>57466511.41327095</v>
      </c>
      <c r="F38" s="132">
        <v>63929395</v>
      </c>
      <c r="G38" s="134">
        <f>IF(ISBLANK(F38),"-",$D$48/$F$45*F38)</f>
        <v>58611137.596746437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64</v>
      </c>
      <c r="B39" s="125">
        <v>1</v>
      </c>
      <c r="C39" s="136">
        <v>2</v>
      </c>
      <c r="D39" s="137">
        <v>64750958</v>
      </c>
      <c r="E39" s="138">
        <f>IF(ISBLANK(D39),"-",$D$48/$D$45*D39)</f>
        <v>57907869.272348084</v>
      </c>
      <c r="F39" s="137">
        <v>63967769</v>
      </c>
      <c r="G39" s="139">
        <f>IF(ISBLANK(F39),"-",$D$48/$F$45*F39)</f>
        <v>58646319.281073928</v>
      </c>
      <c r="I39" s="322">
        <f>ABS((F43/D43*D42)-F42)/D42</f>
        <v>1.5638296076782677E-2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65</v>
      </c>
      <c r="B40" s="125">
        <v>1</v>
      </c>
      <c r="C40" s="136">
        <v>3</v>
      </c>
      <c r="D40" s="137">
        <v>64616858</v>
      </c>
      <c r="E40" s="138">
        <f>IF(ISBLANK(D40),"-",$D$48/$D$45*D40)</f>
        <v>57787941.390054479</v>
      </c>
      <c r="F40" s="137">
        <v>64005530</v>
      </c>
      <c r="G40" s="139">
        <f>IF(ISBLANK(F40),"-",$D$48/$F$45*F40)</f>
        <v>58680938.960593671</v>
      </c>
      <c r="I40" s="322"/>
      <c r="L40" s="117"/>
      <c r="M40" s="117"/>
      <c r="N40" s="140"/>
    </row>
    <row r="41" spans="1:14" ht="27" customHeight="1" x14ac:dyDescent="0.4">
      <c r="A41" s="124" t="s">
        <v>66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67</v>
      </c>
      <c r="B42" s="125">
        <v>1</v>
      </c>
      <c r="C42" s="146" t="s">
        <v>68</v>
      </c>
      <c r="D42" s="147">
        <f>AVERAGE(D38:D41)</f>
        <v>64541753.333333336</v>
      </c>
      <c r="E42" s="148">
        <f>AVERAGE(E38:E41)</f>
        <v>57720774.025224507</v>
      </c>
      <c r="F42" s="147">
        <f>AVERAGE(F38:F41)</f>
        <v>63967564.666666664</v>
      </c>
      <c r="G42" s="149">
        <f>AVERAGE(G38:G41)</f>
        <v>58646131.946138017</v>
      </c>
      <c r="H42" s="150"/>
    </row>
    <row r="43" spans="1:14" ht="26.25" customHeight="1" x14ac:dyDescent="0.4">
      <c r="A43" s="124" t="s">
        <v>69</v>
      </c>
      <c r="B43" s="125">
        <v>1</v>
      </c>
      <c r="C43" s="151" t="s">
        <v>106</v>
      </c>
      <c r="D43" s="152">
        <v>11.82</v>
      </c>
      <c r="E43" s="140"/>
      <c r="F43" s="152">
        <v>11.53</v>
      </c>
      <c r="H43" s="150"/>
    </row>
    <row r="44" spans="1:14" ht="26.25" customHeight="1" x14ac:dyDescent="0.4">
      <c r="A44" s="124" t="s">
        <v>71</v>
      </c>
      <c r="B44" s="125">
        <v>1</v>
      </c>
      <c r="C44" s="153" t="s">
        <v>107</v>
      </c>
      <c r="D44" s="154">
        <f>D43*$B$34</f>
        <v>11.82</v>
      </c>
      <c r="E44" s="155"/>
      <c r="F44" s="154">
        <f>F43*$B$34</f>
        <v>11.53</v>
      </c>
      <c r="H44" s="150"/>
    </row>
    <row r="45" spans="1:14" ht="19.5" customHeight="1" x14ac:dyDescent="0.3">
      <c r="A45" s="124" t="s">
        <v>73</v>
      </c>
      <c r="B45" s="156">
        <f>(B44/B43)*(B42/B41)*(B40/B39)*(B38/B37)*B36</f>
        <v>100</v>
      </c>
      <c r="C45" s="153" t="s">
        <v>74</v>
      </c>
      <c r="D45" s="157">
        <f>D44*$B$30/100</f>
        <v>11.18172</v>
      </c>
      <c r="E45" s="158"/>
      <c r="F45" s="157">
        <f>F44*$B$30/100</f>
        <v>10.907379999999998</v>
      </c>
      <c r="H45" s="150"/>
    </row>
    <row r="46" spans="1:14" ht="19.5" customHeight="1" x14ac:dyDescent="0.3">
      <c r="A46" s="303" t="s">
        <v>75</v>
      </c>
      <c r="B46" s="304"/>
      <c r="C46" s="153" t="s">
        <v>76</v>
      </c>
      <c r="D46" s="159">
        <f>D45/$B$45</f>
        <v>0.11181720000000001</v>
      </c>
      <c r="E46" s="160"/>
      <c r="F46" s="161">
        <f>F45/$B$45</f>
        <v>0.10907379999999998</v>
      </c>
      <c r="H46" s="150"/>
    </row>
    <row r="47" spans="1:14" ht="27" customHeight="1" x14ac:dyDescent="0.4">
      <c r="A47" s="305"/>
      <c r="B47" s="306"/>
      <c r="C47" s="162" t="s">
        <v>108</v>
      </c>
      <c r="D47" s="163">
        <v>0.1</v>
      </c>
      <c r="E47" s="164"/>
      <c r="F47" s="160"/>
      <c r="H47" s="150"/>
    </row>
    <row r="48" spans="1:14" ht="18.75" x14ac:dyDescent="0.3">
      <c r="C48" s="165" t="s">
        <v>77</v>
      </c>
      <c r="D48" s="157">
        <f>D47*$B$45</f>
        <v>10</v>
      </c>
      <c r="F48" s="166"/>
      <c r="H48" s="150"/>
    </row>
    <row r="49" spans="1:12" ht="19.5" customHeight="1" x14ac:dyDescent="0.3">
      <c r="C49" s="167" t="s">
        <v>78</v>
      </c>
      <c r="D49" s="168">
        <f>D48/B34</f>
        <v>10</v>
      </c>
      <c r="F49" s="166"/>
      <c r="H49" s="150"/>
    </row>
    <row r="50" spans="1:12" ht="18.75" x14ac:dyDescent="0.3">
      <c r="C50" s="122" t="s">
        <v>79</v>
      </c>
      <c r="D50" s="169">
        <f>AVERAGE(E38:E41,G38:G41)</f>
        <v>58183452.985681258</v>
      </c>
      <c r="F50" s="170"/>
      <c r="H50" s="150"/>
    </row>
    <row r="51" spans="1:12" ht="18.75" x14ac:dyDescent="0.3">
      <c r="C51" s="124" t="s">
        <v>80</v>
      </c>
      <c r="D51" s="171">
        <f>STDEV(E38:E41,G38:G41)/D50</f>
        <v>9.0653414912804462E-3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81</v>
      </c>
    </row>
    <row r="55" spans="1:12" ht="18.75" x14ac:dyDescent="0.3">
      <c r="A55" s="99" t="s">
        <v>82</v>
      </c>
      <c r="B55" s="176" t="str">
        <f>B21</f>
        <v>Each tablet contains: Acyclovir USP 400 mg.</v>
      </c>
    </row>
    <row r="56" spans="1:12" ht="26.25" customHeight="1" x14ac:dyDescent="0.4">
      <c r="A56" s="177" t="s">
        <v>83</v>
      </c>
      <c r="B56" s="178">
        <v>400</v>
      </c>
      <c r="C56" s="99" t="str">
        <f>B20</f>
        <v xml:space="preserve">Acyclovir </v>
      </c>
      <c r="H56" s="179"/>
    </row>
    <row r="57" spans="1:12" ht="18.75" x14ac:dyDescent="0.3">
      <c r="A57" s="176" t="s">
        <v>84</v>
      </c>
      <c r="B57" s="247">
        <f>Uniformity!C46</f>
        <v>468.99099999999999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109</v>
      </c>
      <c r="B59" s="123">
        <v>100</v>
      </c>
      <c r="C59" s="99"/>
      <c r="D59" s="180" t="s">
        <v>110</v>
      </c>
      <c r="E59" s="181" t="s">
        <v>60</v>
      </c>
      <c r="F59" s="181" t="s">
        <v>61</v>
      </c>
      <c r="G59" s="181" t="s">
        <v>111</v>
      </c>
      <c r="H59" s="126" t="s">
        <v>112</v>
      </c>
      <c r="L59" s="112"/>
    </row>
    <row r="60" spans="1:12" s="14" customFormat="1" ht="26.25" customHeight="1" x14ac:dyDescent="0.4">
      <c r="A60" s="124" t="s">
        <v>113</v>
      </c>
      <c r="B60" s="125">
        <v>1</v>
      </c>
      <c r="C60" s="323" t="s">
        <v>114</v>
      </c>
      <c r="D60" s="326">
        <v>12.5</v>
      </c>
      <c r="E60" s="182">
        <v>1</v>
      </c>
      <c r="F60" s="183"/>
      <c r="G60" s="248" t="str">
        <f>IF(ISBLANK(F60),"-",(F60/$D$50*$D$47*$B$68)*($B$57/$D$60))</f>
        <v>-</v>
      </c>
      <c r="H60" s="266" t="str">
        <f t="shared" ref="H60:H71" si="0">IF(ISBLANK(F60),"-",(G60/$B$56)*100)</f>
        <v>-</v>
      </c>
      <c r="L60" s="112"/>
    </row>
    <row r="61" spans="1:12" s="14" customFormat="1" ht="26.25" customHeight="1" x14ac:dyDescent="0.4">
      <c r="A61" s="124" t="s">
        <v>94</v>
      </c>
      <c r="B61" s="125">
        <v>1</v>
      </c>
      <c r="C61" s="324"/>
      <c r="D61" s="327"/>
      <c r="E61" s="184">
        <v>2</v>
      </c>
      <c r="F61" s="137"/>
      <c r="G61" s="249" t="str">
        <f>IF(ISBLANK(F61),"-",(F61/$D$50*$D$47*$B$68)*($B$57/$D$60))</f>
        <v>-</v>
      </c>
      <c r="H61" s="267" t="str">
        <f t="shared" si="0"/>
        <v>-</v>
      </c>
      <c r="L61" s="112"/>
    </row>
    <row r="62" spans="1:12" s="14" customFormat="1" ht="26.25" customHeight="1" x14ac:dyDescent="0.4">
      <c r="A62" s="124" t="s">
        <v>95</v>
      </c>
      <c r="B62" s="125">
        <v>1</v>
      </c>
      <c r="C62" s="324"/>
      <c r="D62" s="327"/>
      <c r="E62" s="184">
        <v>3</v>
      </c>
      <c r="F62" s="185"/>
      <c r="G62" s="249" t="str">
        <f>IF(ISBLANK(F62),"-",(F62/$D$50*$D$47*$B$68)*($B$57/$D$60))</f>
        <v>-</v>
      </c>
      <c r="H62" s="267" t="str">
        <f t="shared" si="0"/>
        <v>-</v>
      </c>
      <c r="L62" s="112"/>
    </row>
    <row r="63" spans="1:12" ht="27" customHeight="1" x14ac:dyDescent="0.4">
      <c r="A63" s="124" t="s">
        <v>96</v>
      </c>
      <c r="B63" s="125">
        <v>1</v>
      </c>
      <c r="C63" s="325"/>
      <c r="D63" s="328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97</v>
      </c>
      <c r="B64" s="125">
        <v>1</v>
      </c>
      <c r="C64" s="323" t="s">
        <v>115</v>
      </c>
      <c r="D64" s="326">
        <v>12.91</v>
      </c>
      <c r="E64" s="182">
        <v>1</v>
      </c>
      <c r="F64" s="183">
        <v>68140797</v>
      </c>
      <c r="G64" s="248">
        <f>IF(ISBLANK(F64),"-",(F64/$D$50*$D$47*$B$68)*($B$57/$D$64))</f>
        <v>425.44750757494569</v>
      </c>
      <c r="H64" s="266">
        <f t="shared" si="0"/>
        <v>106.36187689373642</v>
      </c>
    </row>
    <row r="65" spans="1:8" ht="26.25" customHeight="1" x14ac:dyDescent="0.4">
      <c r="A65" s="124" t="s">
        <v>98</v>
      </c>
      <c r="B65" s="125">
        <v>1</v>
      </c>
      <c r="C65" s="324"/>
      <c r="D65" s="327"/>
      <c r="E65" s="184">
        <v>2</v>
      </c>
      <c r="F65" s="137">
        <v>67751237</v>
      </c>
      <c r="G65" s="249">
        <f>IF(ISBLANK(F65),"-",(F65/$D$50*$D$47*$B$68)*($B$57/$D$64))</f>
        <v>423.01523002100248</v>
      </c>
      <c r="H65" s="267">
        <f t="shared" si="0"/>
        <v>105.75380750525063</v>
      </c>
    </row>
    <row r="66" spans="1:8" ht="26.25" customHeight="1" x14ac:dyDescent="0.4">
      <c r="A66" s="124" t="s">
        <v>99</v>
      </c>
      <c r="B66" s="125">
        <v>1</v>
      </c>
      <c r="C66" s="324"/>
      <c r="D66" s="327"/>
      <c r="E66" s="184">
        <v>3</v>
      </c>
      <c r="F66" s="137">
        <v>67870402</v>
      </c>
      <c r="G66" s="249">
        <f>IF(ISBLANK(F66),"-",(F66/$D$50*$D$47*$B$68)*($B$57/$D$64))</f>
        <v>423.75925495866454</v>
      </c>
      <c r="H66" s="267">
        <f t="shared" si="0"/>
        <v>105.93981373966615</v>
      </c>
    </row>
    <row r="67" spans="1:8" ht="27" customHeight="1" x14ac:dyDescent="0.4">
      <c r="A67" s="124" t="s">
        <v>100</v>
      </c>
      <c r="B67" s="125">
        <v>1</v>
      </c>
      <c r="C67" s="325"/>
      <c r="D67" s="328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101</v>
      </c>
      <c r="B68" s="188">
        <f>(B67/B66)*(B65/B64)*(B63/B62)*(B61/B60)*B59</f>
        <v>100</v>
      </c>
      <c r="C68" s="323" t="s">
        <v>116</v>
      </c>
      <c r="D68" s="326">
        <v>11.28</v>
      </c>
      <c r="E68" s="182">
        <v>1</v>
      </c>
      <c r="F68" s="183">
        <v>57718730</v>
      </c>
      <c r="G68" s="248">
        <f>IF(ISBLANK(F68),"-",(F68/$D$50*$D$47*$B$68)*($B$57/$D$68))</f>
        <v>412.45130691328637</v>
      </c>
      <c r="H68" s="267">
        <f t="shared" si="0"/>
        <v>103.11282672832158</v>
      </c>
    </row>
    <row r="69" spans="1:8" ht="27" customHeight="1" x14ac:dyDescent="0.4">
      <c r="A69" s="172" t="s">
        <v>117</v>
      </c>
      <c r="B69" s="189">
        <f>(D47*B68)/B56*B57</f>
        <v>11.724775000000001</v>
      </c>
      <c r="C69" s="324"/>
      <c r="D69" s="327"/>
      <c r="E69" s="184">
        <v>2</v>
      </c>
      <c r="F69" s="137">
        <v>57690614</v>
      </c>
      <c r="G69" s="249">
        <f>IF(ISBLANK(F69),"-",(F69/$D$50*$D$47*$B$68)*($B$57/$D$68))</f>
        <v>412.25039325934472</v>
      </c>
      <c r="H69" s="267">
        <f t="shared" si="0"/>
        <v>103.06259831483618</v>
      </c>
    </row>
    <row r="70" spans="1:8" ht="26.25" customHeight="1" x14ac:dyDescent="0.4">
      <c r="A70" s="330" t="s">
        <v>75</v>
      </c>
      <c r="B70" s="331"/>
      <c r="C70" s="324"/>
      <c r="D70" s="327"/>
      <c r="E70" s="184">
        <v>3</v>
      </c>
      <c r="F70" s="137">
        <v>57745762</v>
      </c>
      <c r="G70" s="249">
        <f>IF(ISBLANK(F70),"-",(F70/$D$50*$D$47*$B$68)*($B$57/$D$68))</f>
        <v>412.64447442976638</v>
      </c>
      <c r="H70" s="267">
        <f t="shared" si="0"/>
        <v>103.16111860744159</v>
      </c>
    </row>
    <row r="71" spans="1:8" ht="27" customHeight="1" x14ac:dyDescent="0.4">
      <c r="A71" s="332"/>
      <c r="B71" s="333"/>
      <c r="C71" s="329"/>
      <c r="D71" s="328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68</v>
      </c>
      <c r="G72" s="254">
        <f>AVERAGE(G60:G71)</f>
        <v>418.26136119283507</v>
      </c>
      <c r="H72" s="269">
        <f>AVERAGE(H60:H71)</f>
        <v>104.56534029820877</v>
      </c>
    </row>
    <row r="73" spans="1:8" ht="26.25" customHeight="1" x14ac:dyDescent="0.4">
      <c r="C73" s="190"/>
      <c r="D73" s="190"/>
      <c r="E73" s="190"/>
      <c r="F73" s="193" t="s">
        <v>80</v>
      </c>
      <c r="G73" s="253">
        <f>STDEV(G60:G71)/G72</f>
        <v>1.5342649660231633E-2</v>
      </c>
      <c r="H73" s="253">
        <f>STDEV(H60:H71)/H72</f>
        <v>1.5342649660231703E-2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6</v>
      </c>
      <c r="H74" s="196">
        <f>COUNT(H60:H71)</f>
        <v>6</v>
      </c>
    </row>
    <row r="76" spans="1:8" ht="26.25" customHeight="1" x14ac:dyDescent="0.4">
      <c r="A76" s="108" t="s">
        <v>118</v>
      </c>
      <c r="B76" s="197" t="s">
        <v>85</v>
      </c>
      <c r="C76" s="310" t="str">
        <f>B26</f>
        <v xml:space="preserve">Acyclovir </v>
      </c>
      <c r="D76" s="310"/>
      <c r="E76" s="198" t="s">
        <v>86</v>
      </c>
      <c r="F76" s="198"/>
      <c r="G76" s="282">
        <f>H72</f>
        <v>104.56534029820877</v>
      </c>
      <c r="H76" s="200"/>
    </row>
    <row r="77" spans="1:8" ht="18.75" x14ac:dyDescent="0.3">
      <c r="A77" s="107" t="s">
        <v>87</v>
      </c>
      <c r="B77" s="107" t="s">
        <v>88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295" t="str">
        <f>B26</f>
        <v xml:space="preserve">Acyclovir </v>
      </c>
      <c r="C79" s="295"/>
    </row>
    <row r="80" spans="1:8" ht="26.25" customHeight="1" x14ac:dyDescent="0.4">
      <c r="A80" s="109" t="s">
        <v>48</v>
      </c>
      <c r="B80" s="295" t="str">
        <f>B27</f>
        <v>A32-2</v>
      </c>
      <c r="C80" s="295"/>
    </row>
    <row r="81" spans="1:12" ht="27" customHeight="1" x14ac:dyDescent="0.4">
      <c r="A81" s="109" t="s">
        <v>6</v>
      </c>
      <c r="B81" s="201">
        <f>B28</f>
        <v>94.6</v>
      </c>
    </row>
    <row r="82" spans="1:12" s="14" customFormat="1" ht="27" customHeight="1" x14ac:dyDescent="0.4">
      <c r="A82" s="109" t="s">
        <v>49</v>
      </c>
      <c r="B82" s="111">
        <v>0</v>
      </c>
      <c r="C82" s="313" t="s">
        <v>89</v>
      </c>
      <c r="D82" s="314"/>
      <c r="E82" s="314"/>
      <c r="F82" s="314"/>
      <c r="G82" s="315"/>
      <c r="I82" s="112"/>
      <c r="J82" s="112"/>
      <c r="K82" s="112"/>
      <c r="L82" s="112"/>
    </row>
    <row r="83" spans="1:12" s="14" customFormat="1" ht="19.5" customHeight="1" x14ac:dyDescent="0.3">
      <c r="A83" s="109" t="s">
        <v>50</v>
      </c>
      <c r="B83" s="113">
        <f>B81-B82</f>
        <v>94.6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51</v>
      </c>
      <c r="B84" s="116">
        <v>1</v>
      </c>
      <c r="C84" s="297" t="s">
        <v>119</v>
      </c>
      <c r="D84" s="298"/>
      <c r="E84" s="298"/>
      <c r="F84" s="298"/>
      <c r="G84" s="298"/>
      <c r="H84" s="299"/>
      <c r="I84" s="112"/>
      <c r="J84" s="112"/>
      <c r="K84" s="112"/>
      <c r="L84" s="112"/>
    </row>
    <row r="85" spans="1:12" s="14" customFormat="1" ht="27" customHeight="1" x14ac:dyDescent="0.4">
      <c r="A85" s="109" t="s">
        <v>53</v>
      </c>
      <c r="B85" s="116">
        <v>1</v>
      </c>
      <c r="C85" s="297" t="s">
        <v>120</v>
      </c>
      <c r="D85" s="298"/>
      <c r="E85" s="298"/>
      <c r="F85" s="298"/>
      <c r="G85" s="298"/>
      <c r="H85" s="299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55</v>
      </c>
      <c r="B87" s="121">
        <f>B84/B85</f>
        <v>1</v>
      </c>
      <c r="C87" s="99" t="s">
        <v>56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104</v>
      </c>
      <c r="B89" s="123">
        <v>100</v>
      </c>
      <c r="D89" s="202" t="s">
        <v>57</v>
      </c>
      <c r="E89" s="203"/>
      <c r="F89" s="300" t="s">
        <v>58</v>
      </c>
      <c r="G89" s="302"/>
    </row>
    <row r="90" spans="1:12" ht="27" customHeight="1" x14ac:dyDescent="0.4">
      <c r="A90" s="124" t="s">
        <v>59</v>
      </c>
      <c r="B90" s="125">
        <v>10</v>
      </c>
      <c r="C90" s="204" t="s">
        <v>60</v>
      </c>
      <c r="D90" s="127" t="s">
        <v>61</v>
      </c>
      <c r="E90" s="128" t="s">
        <v>62</v>
      </c>
      <c r="F90" s="127" t="s">
        <v>61</v>
      </c>
      <c r="G90" s="205" t="s">
        <v>62</v>
      </c>
      <c r="I90" s="130" t="s">
        <v>105</v>
      </c>
    </row>
    <row r="91" spans="1:12" ht="26.25" customHeight="1" x14ac:dyDescent="0.4">
      <c r="A91" s="124" t="s">
        <v>63</v>
      </c>
      <c r="B91" s="125">
        <v>100</v>
      </c>
      <c r="C91" s="206">
        <v>1</v>
      </c>
      <c r="D91" s="132">
        <v>0.61599999999999999</v>
      </c>
      <c r="E91" s="133">
        <f>IF(ISBLANK(D91),"-",$D$101/$D$98*D91)</f>
        <v>0.61211016234035942</v>
      </c>
      <c r="F91" s="132">
        <v>0.60899999999999999</v>
      </c>
      <c r="G91" s="134">
        <f>IF(ISBLANK(F91),"-",$D$101/$F$98*F91)</f>
        <v>0.62037507326843544</v>
      </c>
      <c r="I91" s="135"/>
    </row>
    <row r="92" spans="1:12" ht="26.25" customHeight="1" x14ac:dyDescent="0.4">
      <c r="A92" s="124" t="s">
        <v>64</v>
      </c>
      <c r="B92" s="125">
        <v>1</v>
      </c>
      <c r="C92" s="191">
        <v>2</v>
      </c>
      <c r="D92" s="137">
        <v>0.61599999999999999</v>
      </c>
      <c r="E92" s="138">
        <f>IF(ISBLANK(D92),"-",$D$101/$D$98*D92)</f>
        <v>0.61211016234035942</v>
      </c>
      <c r="F92" s="137">
        <v>0.60699999999999998</v>
      </c>
      <c r="G92" s="139">
        <f>IF(ISBLANK(F92),"-",$D$101/$F$98*F92)</f>
        <v>0.61833771670597759</v>
      </c>
      <c r="I92" s="322">
        <f>ABS((F96/D96*D95)-F95)/D95</f>
        <v>1.2629925066473391E-2</v>
      </c>
    </row>
    <row r="93" spans="1:12" ht="26.25" customHeight="1" x14ac:dyDescent="0.4">
      <c r="A93" s="124" t="s">
        <v>65</v>
      </c>
      <c r="B93" s="125">
        <v>1</v>
      </c>
      <c r="C93" s="191">
        <v>3</v>
      </c>
      <c r="D93" s="137">
        <v>0.61599999999999999</v>
      </c>
      <c r="E93" s="138">
        <f>IF(ISBLANK(D93),"-",$D$101/$D$98*D93)</f>
        <v>0.61211016234035942</v>
      </c>
      <c r="F93" s="337">
        <v>0.61</v>
      </c>
      <c r="G93" s="139">
        <f>IF(ISBLANK(F93),"-",$D$101/$F$98*F93)</f>
        <v>0.62139375154966447</v>
      </c>
      <c r="I93" s="322"/>
    </row>
    <row r="94" spans="1:12" ht="27" customHeight="1" x14ac:dyDescent="0.4">
      <c r="A94" s="124" t="s">
        <v>66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67</v>
      </c>
      <c r="B95" s="125">
        <v>1</v>
      </c>
      <c r="C95" s="209" t="s">
        <v>68</v>
      </c>
      <c r="D95" s="210">
        <f>AVERAGE(D91:D94)</f>
        <v>0.61599999999999999</v>
      </c>
      <c r="E95" s="148">
        <f>AVERAGE(E91:E94)</f>
        <v>0.61211016234035942</v>
      </c>
      <c r="F95" s="211">
        <f>AVERAGE(F91:F94)</f>
        <v>0.60866666666666669</v>
      </c>
      <c r="G95" s="212">
        <f>AVERAGE(G91:G94)</f>
        <v>0.62003551384135924</v>
      </c>
    </row>
    <row r="96" spans="1:12" ht="26.25" customHeight="1" x14ac:dyDescent="0.4">
      <c r="A96" s="124" t="s">
        <v>69</v>
      </c>
      <c r="B96" s="110">
        <v>1</v>
      </c>
      <c r="C96" s="213" t="s">
        <v>70</v>
      </c>
      <c r="D96" s="214">
        <v>11.82</v>
      </c>
      <c r="E96" s="140"/>
      <c r="F96" s="152">
        <v>11.53</v>
      </c>
    </row>
    <row r="97" spans="1:10" ht="26.25" customHeight="1" x14ac:dyDescent="0.4">
      <c r="A97" s="124" t="s">
        <v>71</v>
      </c>
      <c r="B97" s="110">
        <v>1</v>
      </c>
      <c r="C97" s="215" t="s">
        <v>72</v>
      </c>
      <c r="D97" s="216">
        <f>D96*$B$87</f>
        <v>11.82</v>
      </c>
      <c r="E97" s="155"/>
      <c r="F97" s="154">
        <f>F96*$B$87</f>
        <v>11.53</v>
      </c>
    </row>
    <row r="98" spans="1:10" ht="19.5" customHeight="1" x14ac:dyDescent="0.3">
      <c r="A98" s="124" t="s">
        <v>73</v>
      </c>
      <c r="B98" s="217">
        <f>(B97/B96)*(B95/B94)*(B93/B92)*(B91/B90)*B89</f>
        <v>1000</v>
      </c>
      <c r="C98" s="215" t="s">
        <v>121</v>
      </c>
      <c r="D98" s="218">
        <f>D97*$B$83/100</f>
        <v>11.18172</v>
      </c>
      <c r="E98" s="158"/>
      <c r="F98" s="157">
        <f>F97*$B$83/100</f>
        <v>10.907379999999998</v>
      </c>
    </row>
    <row r="99" spans="1:10" ht="19.5" customHeight="1" x14ac:dyDescent="0.3">
      <c r="A99" s="303" t="s">
        <v>75</v>
      </c>
      <c r="B99" s="311"/>
      <c r="C99" s="215" t="s">
        <v>122</v>
      </c>
      <c r="D99" s="219">
        <f>D98/$B$98</f>
        <v>1.1181720000000001E-2</v>
      </c>
      <c r="E99" s="158"/>
      <c r="F99" s="161">
        <f>F98/$B$98</f>
        <v>1.0907379999999998E-2</v>
      </c>
      <c r="G99" s="220"/>
      <c r="H99" s="150"/>
    </row>
    <row r="100" spans="1:10" ht="19.5" customHeight="1" x14ac:dyDescent="0.3">
      <c r="A100" s="305"/>
      <c r="B100" s="312"/>
      <c r="C100" s="215" t="s">
        <v>108</v>
      </c>
      <c r="D100" s="221">
        <f>$B$56/$B$116</f>
        <v>1.1111111111111112E-2</v>
      </c>
      <c r="F100" s="166"/>
      <c r="G100" s="222"/>
      <c r="H100" s="150"/>
    </row>
    <row r="101" spans="1:10" ht="18.75" x14ac:dyDescent="0.3">
      <c r="C101" s="215" t="s">
        <v>77</v>
      </c>
      <c r="D101" s="216">
        <f>D100*$B$98</f>
        <v>11.111111111111111</v>
      </c>
      <c r="F101" s="166"/>
      <c r="G101" s="220"/>
      <c r="H101" s="150"/>
    </row>
    <row r="102" spans="1:10" ht="19.5" customHeight="1" x14ac:dyDescent="0.3">
      <c r="C102" s="223" t="s">
        <v>78</v>
      </c>
      <c r="D102" s="224">
        <f>D101/B34</f>
        <v>11.111111111111111</v>
      </c>
      <c r="F102" s="170"/>
      <c r="G102" s="220"/>
      <c r="H102" s="150"/>
      <c r="J102" s="225"/>
    </row>
    <row r="103" spans="1:10" ht="18.75" x14ac:dyDescent="0.3">
      <c r="C103" s="226" t="s">
        <v>123</v>
      </c>
      <c r="D103" s="227">
        <f>AVERAGE(E91:E94,G91:G94)</f>
        <v>0.61607283809085933</v>
      </c>
      <c r="F103" s="170"/>
      <c r="G103" s="228"/>
      <c r="H103" s="150"/>
      <c r="J103" s="229"/>
    </row>
    <row r="104" spans="1:10" ht="18.75" x14ac:dyDescent="0.3">
      <c r="C104" s="193" t="s">
        <v>80</v>
      </c>
      <c r="D104" s="230">
        <f>STDEV(E91:E94,G91:G94)/D103</f>
        <v>7.2248831342515262E-3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90</v>
      </c>
      <c r="B107" s="123">
        <v>900</v>
      </c>
      <c r="C107" s="270" t="s">
        <v>124</v>
      </c>
      <c r="D107" s="270" t="s">
        <v>61</v>
      </c>
      <c r="E107" s="270" t="s">
        <v>91</v>
      </c>
      <c r="F107" s="232" t="s">
        <v>92</v>
      </c>
    </row>
    <row r="108" spans="1:10" ht="26.25" customHeight="1" x14ac:dyDescent="0.4">
      <c r="A108" s="124" t="s">
        <v>93</v>
      </c>
      <c r="B108" s="125">
        <v>5</v>
      </c>
      <c r="C108" s="273">
        <v>1</v>
      </c>
      <c r="D108" s="334">
        <v>0.61699999999999999</v>
      </c>
      <c r="E108" s="250">
        <f t="shared" ref="E108:E113" si="1">IF(ISBLANK(D108),"-",D108/$D$103*$D$100*$B$116)</f>
        <v>400.60198200720151</v>
      </c>
      <c r="F108" s="274">
        <f t="shared" ref="F108:F113" si="2">IF(ISBLANK(D108), "-", (E108/$B$56)*100)</f>
        <v>100.15049550180038</v>
      </c>
    </row>
    <row r="109" spans="1:10" ht="26.25" customHeight="1" x14ac:dyDescent="0.4">
      <c r="A109" s="124" t="s">
        <v>94</v>
      </c>
      <c r="B109" s="125">
        <v>200</v>
      </c>
      <c r="C109" s="271">
        <v>2</v>
      </c>
      <c r="D109" s="335">
        <v>0.60499999999999998</v>
      </c>
      <c r="E109" s="251">
        <f t="shared" si="1"/>
        <v>392.81069548518138</v>
      </c>
      <c r="F109" s="275">
        <f t="shared" si="2"/>
        <v>98.202673871295346</v>
      </c>
    </row>
    <row r="110" spans="1:10" ht="26.25" customHeight="1" x14ac:dyDescent="0.4">
      <c r="A110" s="124" t="s">
        <v>95</v>
      </c>
      <c r="B110" s="125">
        <v>1</v>
      </c>
      <c r="C110" s="271">
        <v>3</v>
      </c>
      <c r="D110" s="335">
        <v>0.61299999999999999</v>
      </c>
      <c r="E110" s="251">
        <f t="shared" si="1"/>
        <v>398.00488649986147</v>
      </c>
      <c r="F110" s="275">
        <f t="shared" si="2"/>
        <v>99.501221624965368</v>
      </c>
    </row>
    <row r="111" spans="1:10" ht="26.25" customHeight="1" x14ac:dyDescent="0.4">
      <c r="A111" s="124" t="s">
        <v>96</v>
      </c>
      <c r="B111" s="125">
        <v>1</v>
      </c>
      <c r="C111" s="271">
        <v>4</v>
      </c>
      <c r="D111" s="335">
        <v>0.60499999999999998</v>
      </c>
      <c r="E111" s="251">
        <f t="shared" si="1"/>
        <v>392.81069548518138</v>
      </c>
      <c r="F111" s="275">
        <f t="shared" si="2"/>
        <v>98.202673871295346</v>
      </c>
    </row>
    <row r="112" spans="1:10" ht="26.25" customHeight="1" x14ac:dyDescent="0.4">
      <c r="A112" s="124" t="s">
        <v>97</v>
      </c>
      <c r="B112" s="125">
        <v>1</v>
      </c>
      <c r="C112" s="271">
        <v>5</v>
      </c>
      <c r="D112" s="335">
        <v>0.60299999999999998</v>
      </c>
      <c r="E112" s="251">
        <f t="shared" si="1"/>
        <v>391.51214773151139</v>
      </c>
      <c r="F112" s="275">
        <f t="shared" si="2"/>
        <v>97.878036932877848</v>
      </c>
    </row>
    <row r="113" spans="1:10" ht="27" customHeight="1" x14ac:dyDescent="0.4">
      <c r="A113" s="124" t="s">
        <v>98</v>
      </c>
      <c r="B113" s="125">
        <v>1</v>
      </c>
      <c r="C113" s="272">
        <v>6</v>
      </c>
      <c r="D113" s="336">
        <v>0.60799999999999998</v>
      </c>
      <c r="E113" s="252">
        <f t="shared" si="1"/>
        <v>394.7585171156864</v>
      </c>
      <c r="F113" s="276">
        <f t="shared" si="2"/>
        <v>98.689629278921601</v>
      </c>
    </row>
    <row r="114" spans="1:10" ht="27" customHeight="1" x14ac:dyDescent="0.4">
      <c r="A114" s="124" t="s">
        <v>99</v>
      </c>
      <c r="B114" s="125">
        <v>1</v>
      </c>
      <c r="C114" s="233"/>
      <c r="D114" s="191"/>
      <c r="E114" s="98"/>
      <c r="F114" s="277"/>
    </row>
    <row r="115" spans="1:10" ht="26.25" customHeight="1" x14ac:dyDescent="0.4">
      <c r="A115" s="124" t="s">
        <v>100</v>
      </c>
      <c r="B115" s="125">
        <v>1</v>
      </c>
      <c r="C115" s="233"/>
      <c r="D115" s="257" t="s">
        <v>68</v>
      </c>
      <c r="E115" s="259">
        <f>AVERAGE(E108:E113)</f>
        <v>395.08315405410394</v>
      </c>
      <c r="F115" s="278">
        <f>AVERAGE(F108:F113)</f>
        <v>98.770788513525986</v>
      </c>
    </row>
    <row r="116" spans="1:10" ht="27" customHeight="1" x14ac:dyDescent="0.4">
      <c r="A116" s="124" t="s">
        <v>101</v>
      </c>
      <c r="B116" s="156">
        <f>(B115/B114)*(B113/B112)*(B111/B110)*(B109/B108)*B107</f>
        <v>36000</v>
      </c>
      <c r="C116" s="234"/>
      <c r="D116" s="258" t="s">
        <v>80</v>
      </c>
      <c r="E116" s="256">
        <f>STDEV(E108:E113)/E115</f>
        <v>8.9258672894003306E-3</v>
      </c>
      <c r="F116" s="235">
        <f>STDEV(F108:F113)/F115</f>
        <v>8.9258672894003306E-3</v>
      </c>
      <c r="I116" s="98"/>
    </row>
    <row r="117" spans="1:10" ht="27" customHeight="1" x14ac:dyDescent="0.4">
      <c r="A117" s="303" t="s">
        <v>75</v>
      </c>
      <c r="B117" s="304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305"/>
      <c r="B118" s="306"/>
      <c r="C118" s="98"/>
      <c r="D118" s="260"/>
      <c r="E118" s="316" t="s">
        <v>125</v>
      </c>
      <c r="F118" s="317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126</v>
      </c>
      <c r="E119" s="263">
        <f>MIN(E108:E113)</f>
        <v>391.51214773151139</v>
      </c>
      <c r="F119" s="279">
        <f>MIN(F108:F113)</f>
        <v>97.878036932877848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127</v>
      </c>
      <c r="E120" s="264">
        <f>MAX(E108:E113)</f>
        <v>400.60198200720151</v>
      </c>
      <c r="F120" s="280">
        <f>MAX(F108:F113)</f>
        <v>100.15049550180038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118</v>
      </c>
      <c r="B124" s="197" t="s">
        <v>102</v>
      </c>
      <c r="C124" s="310" t="str">
        <f>B26</f>
        <v xml:space="preserve">Acyclovir </v>
      </c>
      <c r="D124" s="310"/>
      <c r="E124" s="198" t="s">
        <v>103</v>
      </c>
      <c r="F124" s="198"/>
      <c r="G124" s="281">
        <f>F115</f>
        <v>98.770788513525986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1">
        <f>MIN(F108:F113)</f>
        <v>97.878036932877848</v>
      </c>
      <c r="E125" s="209" t="s">
        <v>130</v>
      </c>
      <c r="F125" s="281">
        <f>MAX(F108:F113)</f>
        <v>100.15049550180038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309" t="s">
        <v>26</v>
      </c>
      <c r="C127" s="309"/>
      <c r="E127" s="204" t="s">
        <v>27</v>
      </c>
      <c r="F127" s="239"/>
      <c r="G127" s="309" t="s">
        <v>28</v>
      </c>
      <c r="H127" s="309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Acyclovir </vt:lpstr>
      <vt:lpstr>'Acyclovir '!Print_Area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2017-11-08T08:25:21Z</cp:lastPrinted>
  <dcterms:created xsi:type="dcterms:W3CDTF">2005-07-05T10:19:27Z</dcterms:created>
  <dcterms:modified xsi:type="dcterms:W3CDTF">2017-11-08T08:25:25Z</dcterms:modified>
</cp:coreProperties>
</file>