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F30" i="5" l="1"/>
  <c r="F5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/>
  <c r="D101" i="4" s="1"/>
  <c r="B98" i="4"/>
  <c r="F97" i="4"/>
  <c r="F95" i="4"/>
  <c r="D95" i="4"/>
  <c r="B87" i="4"/>
  <c r="D97" i="4" s="1"/>
  <c r="B81" i="4"/>
  <c r="B83" i="4" s="1"/>
  <c r="B80" i="4"/>
  <c r="B79" i="4"/>
  <c r="C76" i="4"/>
  <c r="B68" i="4"/>
  <c r="B69" i="4" s="1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6" i="2"/>
  <c r="B57" i="4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I92" i="3"/>
  <c r="I92" i="4"/>
  <c r="D44" i="4"/>
  <c r="D45" i="4" s="1"/>
  <c r="D46" i="4" s="1"/>
  <c r="F45" i="4"/>
  <c r="F46" i="4" s="1"/>
  <c r="D98" i="4"/>
  <c r="D99" i="4" s="1"/>
  <c r="F98" i="4"/>
  <c r="F99" i="4" s="1"/>
  <c r="D101" i="3"/>
  <c r="D97" i="3"/>
  <c r="D98" i="3"/>
  <c r="D99" i="3" s="1"/>
  <c r="B69" i="3"/>
  <c r="I39" i="3"/>
  <c r="D45" i="3"/>
  <c r="D46" i="3" s="1"/>
  <c r="D102" i="3"/>
  <c r="E94" i="4"/>
  <c r="D102" i="4"/>
  <c r="D49" i="3"/>
  <c r="D49" i="4"/>
  <c r="F98" i="3"/>
  <c r="F99" i="3" s="1"/>
  <c r="D27" i="2"/>
  <c r="D31" i="2"/>
  <c r="D35" i="2"/>
  <c r="D39" i="2"/>
  <c r="D43" i="2"/>
  <c r="C49" i="2"/>
  <c r="F44" i="3"/>
  <c r="F45" i="3" s="1"/>
  <c r="F46" i="3" s="1"/>
  <c r="C50" i="2"/>
  <c r="D26" i="2"/>
  <c r="D30" i="2"/>
  <c r="D34" i="2"/>
  <c r="D38" i="2"/>
  <c r="D42" i="2"/>
  <c r="B49" i="2"/>
  <c r="D50" i="2"/>
  <c r="E91" i="4" l="1"/>
  <c r="E92" i="4"/>
  <c r="E38" i="4"/>
  <c r="E39" i="4"/>
  <c r="G41" i="4"/>
  <c r="G40" i="4"/>
  <c r="G38" i="4"/>
  <c r="G39" i="4"/>
  <c r="E41" i="4"/>
  <c r="G93" i="4"/>
  <c r="G91" i="4"/>
  <c r="G94" i="4"/>
  <c r="E40" i="4"/>
  <c r="E93" i="4"/>
  <c r="G92" i="4"/>
  <c r="E93" i="3"/>
  <c r="E92" i="3"/>
  <c r="E94" i="3"/>
  <c r="E91" i="3"/>
  <c r="G41" i="3"/>
  <c r="E39" i="3"/>
  <c r="G39" i="3"/>
  <c r="G40" i="3"/>
  <c r="G38" i="3"/>
  <c r="G42" i="3" s="1"/>
  <c r="E41" i="3"/>
  <c r="G93" i="3"/>
  <c r="E38" i="3"/>
  <c r="E40" i="3"/>
  <c r="G94" i="3"/>
  <c r="G91" i="3"/>
  <c r="G92" i="3"/>
  <c r="D50" i="3" l="1"/>
  <c r="D51" i="3" s="1"/>
  <c r="D103" i="4"/>
  <c r="E109" i="4" s="1"/>
  <c r="F109" i="4" s="1"/>
  <c r="D50" i="4"/>
  <c r="G70" i="4" s="1"/>
  <c r="H70" i="4" s="1"/>
  <c r="D52" i="4"/>
  <c r="G42" i="4"/>
  <c r="E42" i="4"/>
  <c r="G95" i="4"/>
  <c r="D105" i="4"/>
  <c r="E95" i="4"/>
  <c r="E95" i="3"/>
  <c r="G95" i="3"/>
  <c r="E42" i="3"/>
  <c r="D52" i="3"/>
  <c r="D103" i="3"/>
  <c r="E110" i="3" s="1"/>
  <c r="F110" i="3" s="1"/>
  <c r="D105" i="3"/>
  <c r="G71" i="3"/>
  <c r="H71" i="3" s="1"/>
  <c r="G66" i="3"/>
  <c r="H66" i="3" s="1"/>
  <c r="G62" i="3"/>
  <c r="H62" i="3" s="1"/>
  <c r="G70" i="3"/>
  <c r="H70" i="3" s="1"/>
  <c r="G67" i="3"/>
  <c r="H67" i="3" s="1"/>
  <c r="G65" i="3"/>
  <c r="H65" i="3" s="1"/>
  <c r="G63" i="3"/>
  <c r="H63" i="3" s="1"/>
  <c r="G61" i="3"/>
  <c r="H61" i="3" s="1"/>
  <c r="G67" i="4"/>
  <c r="H67" i="4" s="1"/>
  <c r="G63" i="4"/>
  <c r="H63" i="4" s="1"/>
  <c r="G68" i="4"/>
  <c r="H68" i="4" s="1"/>
  <c r="G71" i="4"/>
  <c r="H71" i="4" s="1"/>
  <c r="G62" i="4" l="1"/>
  <c r="H62" i="4" s="1"/>
  <c r="G69" i="4"/>
  <c r="H69" i="4" s="1"/>
  <c r="G65" i="4"/>
  <c r="H65" i="4" s="1"/>
  <c r="G60" i="4"/>
  <c r="H60" i="4" s="1"/>
  <c r="G64" i="4"/>
  <c r="H64" i="4" s="1"/>
  <c r="G64" i="3"/>
  <c r="H64" i="3" s="1"/>
  <c r="G68" i="3"/>
  <c r="H68" i="3" s="1"/>
  <c r="G60" i="3"/>
  <c r="G69" i="3"/>
  <c r="H69" i="3" s="1"/>
  <c r="D51" i="4"/>
  <c r="E113" i="4"/>
  <c r="F113" i="4" s="1"/>
  <c r="E111" i="4"/>
  <c r="F111" i="4" s="1"/>
  <c r="E110" i="4"/>
  <c r="F110" i="4" s="1"/>
  <c r="E112" i="4"/>
  <c r="F112" i="4" s="1"/>
  <c r="D104" i="4"/>
  <c r="E108" i="4"/>
  <c r="G66" i="4"/>
  <c r="H66" i="4" s="1"/>
  <c r="G61" i="4"/>
  <c r="H61" i="4" s="1"/>
  <c r="E111" i="3"/>
  <c r="F111" i="3" s="1"/>
  <c r="E109" i="3"/>
  <c r="F109" i="3" s="1"/>
  <c r="E112" i="3"/>
  <c r="F112" i="3" s="1"/>
  <c r="E113" i="3"/>
  <c r="F113" i="3" s="1"/>
  <c r="E108" i="3"/>
  <c r="F108" i="3" s="1"/>
  <c r="D104" i="3"/>
  <c r="G74" i="3" l="1"/>
  <c r="H60" i="3"/>
  <c r="H74" i="3" s="1"/>
  <c r="G72" i="3"/>
  <c r="G73" i="3" s="1"/>
  <c r="E120" i="4"/>
  <c r="E117" i="4"/>
  <c r="F108" i="4"/>
  <c r="F125" i="4" s="1"/>
  <c r="E119" i="4"/>
  <c r="E115" i="4"/>
  <c r="E116" i="4" s="1"/>
  <c r="G72" i="4"/>
  <c r="G73" i="4" s="1"/>
  <c r="G74" i="4"/>
  <c r="E117" i="3"/>
  <c r="E120" i="3"/>
  <c r="E115" i="3"/>
  <c r="E116" i="3" s="1"/>
  <c r="E119" i="3"/>
  <c r="H74" i="4"/>
  <c r="H72" i="4"/>
  <c r="F119" i="3"/>
  <c r="F125" i="3"/>
  <c r="F120" i="3"/>
  <c r="F117" i="3"/>
  <c r="D125" i="3"/>
  <c r="F115" i="3"/>
  <c r="H72" i="3" l="1"/>
  <c r="H73" i="3" s="1"/>
  <c r="F117" i="4"/>
  <c r="F120" i="4"/>
  <c r="F119" i="4"/>
  <c r="D125" i="4"/>
  <c r="F115" i="4"/>
  <c r="F116" i="4" s="1"/>
  <c r="G76" i="4"/>
  <c r="H73" i="4"/>
  <c r="G124" i="3"/>
  <c r="F116" i="3"/>
  <c r="G76" i="3" l="1"/>
  <c r="G124" i="4"/>
</calcChain>
</file>

<file path=xl/sharedStrings.xml><?xml version="1.0" encoding="utf-8"?>
<sst xmlns="http://schemas.openxmlformats.org/spreadsheetml/2006/main" count="460" uniqueCount="139">
  <si>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</si>
  <si>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</si>
  <si>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</si>
  <si>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</si>
  <si>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</si>
  <si>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</si>
  <si>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</si>
  <si>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NDQB201711260</t>
  </si>
  <si>
    <t>Weight (mg):</t>
  </si>
  <si>
    <t>Sulfamethoxazole &amp; Trimethoprim</t>
  </si>
  <si>
    <t>Standard Conc (mg/mL):</t>
  </si>
  <si>
    <t>Each tablet contains: Sulfamethoxazole BP 800 mg and Trimethoprim BP 160 mg.</t>
  </si>
  <si>
    <t>2017-11-02 13:32:48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</si>
  <si>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</si>
  <si>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</si>
  <si>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</si>
  <si>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</si>
  <si>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</si>
  <si>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</si>
  <si>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</si>
  <si>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</si>
  <si>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</si>
  <si>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</si>
  <si>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</si>
  <si>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</si>
  <si>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</si>
  <si>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</si>
  <si>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</si>
  <si>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</si>
  <si>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</si>
  <si>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</si>
  <si>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</si>
  <si>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</si>
  <si>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</si>
  <si>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</si>
  <si>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</si>
  <si>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</si>
  <si>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</si>
  <si>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</si>
  <si>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</si>
  <si>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</si>
  <si>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</si>
  <si>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</si>
  <si>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</si>
  <si>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</si>
  <si>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</si>
  <si>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</si>
  <si>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</si>
  <si>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</si>
  <si>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</si>
  <si>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</si>
  <si>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</si>
  <si>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</si>
  <si>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</si>
  <si>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</si>
  <si>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</si>
  <si>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</si>
  <si>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</si>
  <si>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</si>
  <si>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</si>
  <si>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</si>
  <si>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</si>
  <si>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</si>
  <si>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</si>
  <si>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</si>
  <si>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</si>
  <si>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</si>
  <si>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</si>
  <si>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</si>
  <si>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</si>
  <si>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</si>
  <si>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</si>
  <si>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</si>
  <si>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</si>
  <si>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</si>
  <si>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</si>
  <si>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</si>
  <si>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</si>
  <si>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</si>
  <si>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</si>
  <si>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</si>
  <si>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</si>
  <si>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</si>
  <si>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</si>
  <si>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</si>
  <si>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</si>
  <si>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</si>
  <si>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</si>
  <si>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</si>
  <si>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</si>
  <si>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</si>
  <si>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</si>
  <si>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</si>
  <si>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</si>
  <si>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</si>
  <si>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</si>
  <si>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</si>
  <si>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</si>
  <si>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</si>
  <si>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</si>
  <si>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</si>
  <si>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</si>
  <si>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</si>
  <si>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</si>
  <si>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</si>
  <si>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</si>
  <si>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</si>
  <si>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</si>
  <si>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</si>
  <si>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</si>
  <si>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</si>
  <si>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</si>
  <si>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</si>
  <si>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</si>
  <si>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</si>
  <si>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</si>
  <si>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</si>
  <si>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</si>
  <si>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</si>
  <si>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</si>
  <si>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</si>
  <si>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</si>
  <si>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</si>
  <si>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</si>
  <si>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</si>
  <si>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</si>
  <si>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</si>
  <si>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</si>
  <si>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</si>
  <si>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</si>
  <si>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</si>
  <si>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</si>
  <si>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SULFAMETHOXAZOLE</t>
  </si>
  <si>
    <t>RESOLUTION</t>
  </si>
  <si>
    <r>
      <t xml:space="preserve">The Resolution between Trimethoprim and Sulfamethoxazole peaks should </t>
    </r>
    <r>
      <rPr>
        <b/>
        <sz val="12"/>
        <color rgb="FF000000"/>
        <rFont val="Book Antiqua"/>
        <family val="1"/>
      </rPr>
      <t>not be less than 5.0</t>
    </r>
    <r>
      <rPr>
        <sz val="12"/>
        <color rgb="FF000000"/>
        <rFont val="Book Antiqua"/>
        <family val="1"/>
      </rPr>
      <t xml:space="preserve"> </t>
    </r>
  </si>
  <si>
    <t>DR.</t>
  </si>
  <si>
    <t>PETER NGUMO</t>
  </si>
  <si>
    <t>S12-6</t>
  </si>
  <si>
    <t>T7-5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</si>
</sst>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26" fillId="2" borderId="0" xfId="0" applyFont="1" applyFill="1"/>
    <xf numFmtId="2" fontId="25" fillId="2" borderId="0" xfId="0" applyNumberFormat="1" applyFont="1" applyFill="1" applyAlignment="1">
      <alignment horizontal="center"/>
    </xf>
    <xf numFmtId="0" fontId="27" fillId="2" borderId="7" xfId="0" applyFont="1" applyFill="1" applyBorder="1"/>
    <xf numFmtId="168" fontId="28" fillId="3" borderId="0" xfId="0" applyNumberFormat="1" applyFont="1" applyFill="1" applyAlignment="1" applyProtection="1">
      <alignment horizontal="center"/>
      <protection locked="0"/>
    </xf>
    <xf numFmtId="0" fontId="29" fillId="3" borderId="29" xfId="0" applyFont="1" applyFill="1" applyBorder="1" applyAlignment="1" applyProtection="1">
      <alignment horizontal="center"/>
      <protection locked="0"/>
    </xf>
    <xf numFmtId="0" fontId="29" fillId="3" borderId="23" xfId="0" applyFont="1" applyFill="1" applyBorder="1" applyAlignment="1" applyProtection="1">
      <alignment horizontal="center"/>
      <protection locked="0"/>
    </xf>
    <xf numFmtId="0" fontId="30" fillId="3" borderId="3" xfId="0" applyFont="1" applyFill="1" applyBorder="1" applyAlignment="1" applyProtection="1">
      <alignment horizontal="center"/>
      <protection locked="0"/>
    </xf>
    <xf numFmtId="2" fontId="30" fillId="3" borderId="3" xfId="0" applyNumberFormat="1" applyFont="1" applyFill="1" applyBorder="1" applyAlignment="1" applyProtection="1">
      <alignment horizontal="center"/>
      <protection locked="0"/>
    </xf>
    <xf numFmtId="2" fontId="30" fillId="3" borderId="4" xfId="0" applyNumberFormat="1" applyFont="1" applyFill="1" applyBorder="1" applyAlignment="1" applyProtection="1">
      <alignment horizontal="center"/>
      <protection locked="0"/>
    </xf>
    <xf numFmtId="0" fontId="30" fillId="3" borderId="5" xfId="0" applyFont="1" applyFill="1" applyBorder="1" applyAlignment="1" applyProtection="1">
      <alignment horizontal="center"/>
      <protection locked="0"/>
    </xf>
    <xf numFmtId="2" fontId="30" fillId="3" borderId="5" xfId="0" applyNumberFormat="1" applyFont="1" applyFill="1" applyBorder="1" applyAlignment="1" applyProtection="1">
      <alignment horizontal="center"/>
      <protection locked="0"/>
    </xf>
    <xf numFmtId="0" fontId="12" fillId="3" borderId="29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29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00" customWidth="1"/>
    <col min="2" max="2" width="20.42578125" style="400" customWidth="1"/>
    <col min="3" max="3" width="31.85546875" style="400" customWidth="1"/>
    <col min="4" max="4" width="25.85546875" style="400" customWidth="1"/>
    <col min="5" max="5" width="25.7109375" style="400" customWidth="1"/>
    <col min="6" max="6" width="23.140625" style="400" customWidth="1"/>
    <col min="7" max="7" width="28.42578125" style="400" customWidth="1"/>
    <col min="8" max="8" width="21.5703125" style="400" customWidth="1"/>
    <col min="9" max="9" width="9.140625" style="400" customWidth="1"/>
    <col min="10" max="16384" width="9.140625" style="39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80" t="s">
        <v>0</v>
      </c>
      <c r="B15" s="480"/>
      <c r="C15" s="480"/>
      <c r="D15" s="480"/>
      <c r="E15" s="480"/>
    </row>
    <row r="16" spans="1:6" ht="16.5" customHeight="1" x14ac:dyDescent="0.3">
      <c r="A16" s="85" t="s">
        <v>1</v>
      </c>
      <c r="B16" s="54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67"/>
    </row>
    <row r="18" spans="1:6" ht="16.5" customHeight="1" x14ac:dyDescent="0.3">
      <c r="A18" s="70" t="s">
        <v>4</v>
      </c>
      <c r="B18" s="466" t="s">
        <v>132</v>
      </c>
      <c r="C18" s="67"/>
      <c r="D18" s="67"/>
      <c r="E18" s="67"/>
    </row>
    <row r="19" spans="1:6" ht="16.5" customHeight="1" x14ac:dyDescent="0.3">
      <c r="A19" s="70" t="s">
        <v>6</v>
      </c>
      <c r="B19" s="12">
        <v>99.02</v>
      </c>
      <c r="C19" s="67"/>
      <c r="D19" s="67"/>
      <c r="E19" s="67"/>
    </row>
    <row r="20" spans="1:6" ht="16.5" customHeight="1" x14ac:dyDescent="0.3">
      <c r="A20" s="8" t="s">
        <v>8</v>
      </c>
      <c r="B20" s="12">
        <v>16.02</v>
      </c>
      <c r="C20" s="67"/>
      <c r="D20" s="67"/>
      <c r="E20" s="67"/>
    </row>
    <row r="21" spans="1:6" ht="16.5" customHeight="1" x14ac:dyDescent="0.3">
      <c r="A21" s="8" t="s">
        <v>10</v>
      </c>
      <c r="B21" s="13">
        <v>0.16</v>
      </c>
      <c r="C21" s="67"/>
      <c r="D21" s="67"/>
      <c r="E21" s="67"/>
    </row>
    <row r="22" spans="1:6" ht="15.75" customHeight="1" x14ac:dyDescent="0.25">
      <c r="A22" s="67"/>
      <c r="B22" s="67" t="s">
        <v>12</v>
      </c>
      <c r="C22" s="67"/>
      <c r="D22" s="67"/>
      <c r="E22" s="67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467" t="s">
        <v>133</v>
      </c>
    </row>
    <row r="24" spans="1:6" ht="16.5" customHeight="1" x14ac:dyDescent="0.3">
      <c r="A24" s="17">
        <v>1</v>
      </c>
      <c r="B24" s="474">
        <v>34026610</v>
      </c>
      <c r="C24" s="474">
        <v>11085.1</v>
      </c>
      <c r="D24" s="475">
        <v>1.1000000000000001</v>
      </c>
      <c r="E24" s="476">
        <v>10.1</v>
      </c>
      <c r="F24" s="408">
        <v>20.263680000000001</v>
      </c>
    </row>
    <row r="25" spans="1:6" ht="16.5" customHeight="1" x14ac:dyDescent="0.3">
      <c r="A25" s="17">
        <v>2</v>
      </c>
      <c r="B25" s="474">
        <v>34186209</v>
      </c>
      <c r="C25" s="474">
        <v>10788.7</v>
      </c>
      <c r="D25" s="475">
        <v>1.1000000000000001</v>
      </c>
      <c r="E25" s="475">
        <v>10.1</v>
      </c>
      <c r="F25" s="408">
        <v>20.00177</v>
      </c>
    </row>
    <row r="26" spans="1:6" ht="16.5" customHeight="1" x14ac:dyDescent="0.3">
      <c r="A26" s="17">
        <v>3</v>
      </c>
      <c r="B26" s="474">
        <v>34004126</v>
      </c>
      <c r="C26" s="474">
        <v>10396.700000000001</v>
      </c>
      <c r="D26" s="475">
        <v>1.2</v>
      </c>
      <c r="E26" s="475">
        <v>10.1</v>
      </c>
      <c r="F26" s="408">
        <v>19.650780000000001</v>
      </c>
    </row>
    <row r="27" spans="1:6" ht="16.5" customHeight="1" x14ac:dyDescent="0.3">
      <c r="A27" s="17">
        <v>4</v>
      </c>
      <c r="B27" s="474">
        <v>34149252</v>
      </c>
      <c r="C27" s="474">
        <v>10204.5</v>
      </c>
      <c r="D27" s="475">
        <v>1.2</v>
      </c>
      <c r="E27" s="475">
        <v>10.1</v>
      </c>
      <c r="F27" s="408">
        <v>19.45318</v>
      </c>
    </row>
    <row r="28" spans="1:6" ht="16.5" customHeight="1" x14ac:dyDescent="0.3">
      <c r="A28" s="17">
        <v>5</v>
      </c>
      <c r="B28" s="474">
        <v>34423121</v>
      </c>
      <c r="C28" s="474">
        <v>10070.299999999999</v>
      </c>
      <c r="D28" s="475">
        <v>1.2</v>
      </c>
      <c r="E28" s="475">
        <v>10.1</v>
      </c>
      <c r="F28" s="408">
        <v>19.3294</v>
      </c>
    </row>
    <row r="29" spans="1:6" ht="16.5" customHeight="1" x14ac:dyDescent="0.3">
      <c r="A29" s="17">
        <v>6</v>
      </c>
      <c r="B29" s="477">
        <v>34330256</v>
      </c>
      <c r="C29" s="477">
        <v>10009.200000000001</v>
      </c>
      <c r="D29" s="475">
        <v>1.2</v>
      </c>
      <c r="E29" s="475">
        <v>10.1</v>
      </c>
      <c r="F29" s="408">
        <v>19.247440000000001</v>
      </c>
    </row>
    <row r="30" spans="1:6" ht="16.5" customHeight="1" x14ac:dyDescent="0.3">
      <c r="A30" s="18" t="s">
        <v>18</v>
      </c>
      <c r="B30" s="19">
        <f>AVERAGE(B24:B29)</f>
        <v>34186595.666666664</v>
      </c>
      <c r="C30" s="20">
        <f>AVERAGE(C24:C29)</f>
        <v>10425.75</v>
      </c>
      <c r="D30" s="21">
        <f>AVERAGE(D24:D29)</f>
        <v>1.1666666666666667</v>
      </c>
      <c r="E30" s="21">
        <f>AVERAGE(E24:E29)</f>
        <v>10.1</v>
      </c>
      <c r="F30" s="469">
        <f>AVERAGE(F24:F29)</f>
        <v>19.657708333333336</v>
      </c>
    </row>
    <row r="31" spans="1:6" ht="16.5" customHeight="1" x14ac:dyDescent="0.3">
      <c r="A31" s="22" t="s">
        <v>19</v>
      </c>
      <c r="B31" s="23">
        <f>(STDEV(B24:B29)/B30)</f>
        <v>4.8396038288409703E-3</v>
      </c>
      <c r="C31" s="24"/>
      <c r="D31" s="24"/>
      <c r="E31" s="25"/>
    </row>
    <row r="32" spans="1:6" s="400" customFormat="1" ht="16.5" customHeight="1" x14ac:dyDescent="0.3">
      <c r="A32" s="26" t="s">
        <v>20</v>
      </c>
      <c r="B32" s="27">
        <f>COUNT(B24:B29)</f>
        <v>6</v>
      </c>
      <c r="C32" s="28"/>
      <c r="D32" s="68"/>
      <c r="E32" s="30"/>
    </row>
    <row r="33" spans="1:6" s="400" customFormat="1" ht="15.75" customHeight="1" x14ac:dyDescent="0.25">
      <c r="A33" s="67"/>
      <c r="B33" s="67"/>
      <c r="C33" s="67"/>
      <c r="D33" s="67"/>
      <c r="E33" s="67"/>
    </row>
    <row r="34" spans="1:6" s="400" customFormat="1" ht="16.5" customHeight="1" x14ac:dyDescent="0.3">
      <c r="A34" s="70" t="s">
        <v>21</v>
      </c>
      <c r="B34" s="35" t="s">
        <v>22</v>
      </c>
      <c r="C34" s="34"/>
      <c r="D34" s="34"/>
      <c r="E34" s="34"/>
    </row>
    <row r="35" spans="1:6" ht="16.5" customHeight="1" x14ac:dyDescent="0.3">
      <c r="A35" s="70"/>
      <c r="B35" s="35" t="s">
        <v>23</v>
      </c>
      <c r="C35" s="34"/>
      <c r="D35" s="34"/>
      <c r="E35" s="34"/>
    </row>
    <row r="36" spans="1:6" ht="16.5" customHeight="1" x14ac:dyDescent="0.3">
      <c r="A36" s="70"/>
      <c r="B36" s="35" t="s">
        <v>24</v>
      </c>
      <c r="C36" s="34"/>
      <c r="D36" s="34"/>
      <c r="E36" s="34"/>
    </row>
    <row r="37" spans="1:6" ht="15.75" customHeight="1" x14ac:dyDescent="0.3">
      <c r="A37" s="67"/>
      <c r="B37" s="468" t="s">
        <v>134</v>
      </c>
      <c r="C37" s="67"/>
      <c r="D37" s="67"/>
      <c r="E37" s="67"/>
    </row>
    <row r="38" spans="1:6" ht="16.5" customHeight="1" x14ac:dyDescent="0.3">
      <c r="A38" s="85" t="s">
        <v>1</v>
      </c>
      <c r="B38" s="54" t="s">
        <v>25</v>
      </c>
    </row>
    <row r="39" spans="1:6" ht="16.5" customHeight="1" x14ac:dyDescent="0.3">
      <c r="A39" s="70" t="s">
        <v>4</v>
      </c>
      <c r="B39" s="466" t="s">
        <v>132</v>
      </c>
      <c r="C39" s="67"/>
      <c r="D39" s="67"/>
      <c r="E39" s="67"/>
    </row>
    <row r="40" spans="1:6" ht="16.5" customHeight="1" x14ac:dyDescent="0.3">
      <c r="A40" s="70" t="s">
        <v>6</v>
      </c>
      <c r="B40" s="12">
        <v>99.02</v>
      </c>
      <c r="C40" s="67"/>
      <c r="D40" s="67"/>
      <c r="E40" s="67"/>
    </row>
    <row r="41" spans="1:6" ht="16.5" customHeight="1" x14ac:dyDescent="0.3">
      <c r="A41" s="8" t="s">
        <v>8</v>
      </c>
      <c r="B41" s="12">
        <v>16.02</v>
      </c>
      <c r="C41" s="67"/>
      <c r="D41" s="67"/>
      <c r="E41" s="67"/>
    </row>
    <row r="42" spans="1:6" ht="16.5" customHeight="1" x14ac:dyDescent="0.3">
      <c r="A42" s="8" t="s">
        <v>10</v>
      </c>
      <c r="B42" s="13">
        <v>0.16</v>
      </c>
      <c r="C42" s="67"/>
      <c r="D42" s="67"/>
      <c r="E42" s="67"/>
    </row>
    <row r="43" spans="1:6" ht="15.75" customHeight="1" x14ac:dyDescent="0.25">
      <c r="A43" s="67"/>
      <c r="B43" s="67"/>
      <c r="C43" s="67"/>
      <c r="D43" s="67"/>
      <c r="E43" s="67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467" t="s">
        <v>133</v>
      </c>
    </row>
    <row r="45" spans="1:6" ht="16.5" customHeight="1" x14ac:dyDescent="0.3">
      <c r="A45" s="17">
        <v>1</v>
      </c>
      <c r="B45" s="474">
        <v>34026610</v>
      </c>
      <c r="C45" s="474">
        <v>11085.1</v>
      </c>
      <c r="D45" s="475">
        <v>1.1000000000000001</v>
      </c>
      <c r="E45" s="476">
        <v>10.1</v>
      </c>
      <c r="F45" s="408">
        <v>20.263680000000001</v>
      </c>
    </row>
    <row r="46" spans="1:6" ht="16.5" customHeight="1" x14ac:dyDescent="0.3">
      <c r="A46" s="17">
        <v>2</v>
      </c>
      <c r="B46" s="474">
        <v>34186209</v>
      </c>
      <c r="C46" s="474">
        <v>10788.7</v>
      </c>
      <c r="D46" s="475">
        <v>1.1000000000000001</v>
      </c>
      <c r="E46" s="475">
        <v>10.1</v>
      </c>
      <c r="F46" s="408">
        <v>20.00177</v>
      </c>
    </row>
    <row r="47" spans="1:6" ht="16.5" customHeight="1" x14ac:dyDescent="0.3">
      <c r="A47" s="17">
        <v>3</v>
      </c>
      <c r="B47" s="474">
        <v>34004126</v>
      </c>
      <c r="C47" s="474">
        <v>10396.700000000001</v>
      </c>
      <c r="D47" s="475">
        <v>1.2</v>
      </c>
      <c r="E47" s="475">
        <v>10.1</v>
      </c>
      <c r="F47" s="408">
        <v>19.650780000000001</v>
      </c>
    </row>
    <row r="48" spans="1:6" ht="16.5" customHeight="1" x14ac:dyDescent="0.3">
      <c r="A48" s="17">
        <v>4</v>
      </c>
      <c r="B48" s="474">
        <v>34149252</v>
      </c>
      <c r="C48" s="474">
        <v>10204.5</v>
      </c>
      <c r="D48" s="475">
        <v>1.2</v>
      </c>
      <c r="E48" s="475">
        <v>10.1</v>
      </c>
      <c r="F48" s="408">
        <v>19.45318</v>
      </c>
    </row>
    <row r="49" spans="1:7" ht="16.5" customHeight="1" x14ac:dyDescent="0.3">
      <c r="A49" s="17">
        <v>5</v>
      </c>
      <c r="B49" s="474">
        <v>34423121</v>
      </c>
      <c r="C49" s="474">
        <v>10070.299999999999</v>
      </c>
      <c r="D49" s="475">
        <v>1.2</v>
      </c>
      <c r="E49" s="475">
        <v>10.1</v>
      </c>
      <c r="F49" s="408">
        <v>19.3294</v>
      </c>
    </row>
    <row r="50" spans="1:7" ht="16.5" customHeight="1" x14ac:dyDescent="0.3">
      <c r="A50" s="17">
        <v>6</v>
      </c>
      <c r="B50" s="477">
        <v>34330256</v>
      </c>
      <c r="C50" s="477">
        <v>10009.200000000001</v>
      </c>
      <c r="D50" s="475">
        <v>1.2</v>
      </c>
      <c r="E50" s="475">
        <v>10.1</v>
      </c>
      <c r="F50" s="408">
        <v>19.247440000000001</v>
      </c>
    </row>
    <row r="51" spans="1:7" ht="16.5" customHeight="1" x14ac:dyDescent="0.3">
      <c r="A51" s="18" t="s">
        <v>18</v>
      </c>
      <c r="B51" s="19">
        <f>AVERAGE(B45:B50)</f>
        <v>34186595.666666664</v>
      </c>
      <c r="C51" s="20">
        <f>AVERAGE(C45:C50)</f>
        <v>10425.75</v>
      </c>
      <c r="D51" s="21">
        <f>AVERAGE(D45:D50)</f>
        <v>1.1666666666666667</v>
      </c>
      <c r="E51" s="21">
        <f>AVERAGE(E45:E50)</f>
        <v>10.1</v>
      </c>
      <c r="F51" s="469">
        <f>AVERAGE(F45:F50)</f>
        <v>19.657708333333336</v>
      </c>
    </row>
    <row r="52" spans="1:7" ht="16.5" customHeight="1" x14ac:dyDescent="0.3">
      <c r="A52" s="22" t="s">
        <v>19</v>
      </c>
      <c r="B52" s="23">
        <f>(STDEV(B45:B50)/B51)</f>
        <v>4.8396038288409703E-3</v>
      </c>
      <c r="C52" s="24"/>
      <c r="D52" s="24"/>
      <c r="E52" s="25"/>
    </row>
    <row r="53" spans="1:7" s="400" customFormat="1" ht="16.5" customHeight="1" x14ac:dyDescent="0.3">
      <c r="A53" s="26" t="s">
        <v>20</v>
      </c>
      <c r="B53" s="27">
        <f>COUNT(B45:B50)</f>
        <v>6</v>
      </c>
      <c r="C53" s="28"/>
      <c r="D53" s="68"/>
      <c r="E53" s="30"/>
    </row>
    <row r="54" spans="1:7" s="400" customFormat="1" ht="15.75" customHeight="1" x14ac:dyDescent="0.25">
      <c r="A54" s="67"/>
      <c r="B54" s="67"/>
      <c r="C54" s="67"/>
      <c r="D54" s="67"/>
      <c r="E54" s="67"/>
    </row>
    <row r="55" spans="1:7" s="400" customFormat="1" ht="16.5" customHeight="1" x14ac:dyDescent="0.3">
      <c r="A55" s="70" t="s">
        <v>21</v>
      </c>
      <c r="B55" s="35" t="s">
        <v>22</v>
      </c>
      <c r="C55" s="34"/>
      <c r="D55" s="34"/>
      <c r="E55" s="34"/>
    </row>
    <row r="56" spans="1:7" ht="16.5" customHeight="1" x14ac:dyDescent="0.3">
      <c r="A56" s="70"/>
      <c r="B56" s="35" t="s">
        <v>23</v>
      </c>
      <c r="C56" s="34"/>
      <c r="D56" s="34"/>
      <c r="E56" s="34"/>
    </row>
    <row r="57" spans="1:7" ht="16.5" customHeight="1" x14ac:dyDescent="0.3">
      <c r="A57" s="70"/>
      <c r="B57" s="35" t="s">
        <v>24</v>
      </c>
      <c r="C57" s="34"/>
      <c r="D57" s="34"/>
      <c r="E57" s="34"/>
    </row>
    <row r="58" spans="1:7" ht="14.25" customHeight="1" thickBot="1" x14ac:dyDescent="0.35">
      <c r="A58" s="36"/>
      <c r="B58" s="468" t="s">
        <v>134</v>
      </c>
      <c r="D58" s="38"/>
      <c r="F58" s="39"/>
      <c r="G58" s="39"/>
    </row>
    <row r="59" spans="1:7" ht="15" customHeight="1" x14ac:dyDescent="0.3">
      <c r="B59" s="481" t="s">
        <v>26</v>
      </c>
      <c r="C59" s="481"/>
      <c r="E59" s="40" t="s">
        <v>27</v>
      </c>
      <c r="F59" s="41"/>
      <c r="G59" s="40" t="s">
        <v>28</v>
      </c>
    </row>
    <row r="60" spans="1:7" ht="15" customHeight="1" x14ac:dyDescent="0.3">
      <c r="A60" s="42" t="s">
        <v>29</v>
      </c>
      <c r="B60" s="44"/>
      <c r="C60" s="44"/>
      <c r="E60" s="44"/>
      <c r="G60" s="44"/>
    </row>
    <row r="61" spans="1:7" ht="15" customHeight="1" x14ac:dyDescent="0.3">
      <c r="A61" s="42" t="s">
        <v>30</v>
      </c>
      <c r="B61" s="45"/>
      <c r="C61" s="45"/>
      <c r="E61" s="45"/>
      <c r="G61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H43" sqref="H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0" t="s">
        <v>0</v>
      </c>
      <c r="B15" s="480"/>
      <c r="C15" s="480"/>
      <c r="D15" s="480"/>
      <c r="E15" s="4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66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21.37</v>
      </c>
      <c r="C20" s="10"/>
      <c r="D20" s="10"/>
      <c r="E20" s="10"/>
    </row>
    <row r="21" spans="1:6" ht="16.5" customHeight="1" x14ac:dyDescent="0.3">
      <c r="A21" s="7" t="s">
        <v>10</v>
      </c>
      <c r="B21" s="13">
        <v>3.2000000000000001E-2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474">
        <v>3102648</v>
      </c>
      <c r="C24" s="474">
        <v>6656.8</v>
      </c>
      <c r="D24" s="475">
        <v>1.2</v>
      </c>
      <c r="E24" s="476">
        <v>4.2</v>
      </c>
    </row>
    <row r="25" spans="1:6" ht="16.5" customHeight="1" x14ac:dyDescent="0.3">
      <c r="A25" s="17">
        <v>2</v>
      </c>
      <c r="B25" s="474">
        <v>3112879</v>
      </c>
      <c r="C25" s="474">
        <v>6518</v>
      </c>
      <c r="D25" s="475">
        <v>1.2</v>
      </c>
      <c r="E25" s="475">
        <v>4.2</v>
      </c>
    </row>
    <row r="26" spans="1:6" ht="16.5" customHeight="1" x14ac:dyDescent="0.3">
      <c r="A26" s="17">
        <v>3</v>
      </c>
      <c r="B26" s="474">
        <v>3099559</v>
      </c>
      <c r="C26" s="474">
        <v>6310.3</v>
      </c>
      <c r="D26" s="475">
        <v>1.2</v>
      </c>
      <c r="E26" s="475">
        <v>4.2</v>
      </c>
    </row>
    <row r="27" spans="1:6" ht="16.5" customHeight="1" x14ac:dyDescent="0.3">
      <c r="A27" s="17">
        <v>4</v>
      </c>
      <c r="B27" s="474">
        <v>3111388</v>
      </c>
      <c r="C27" s="474">
        <v>6165.9</v>
      </c>
      <c r="D27" s="475">
        <v>1.2</v>
      </c>
      <c r="E27" s="475">
        <v>4.2</v>
      </c>
    </row>
    <row r="28" spans="1:6" ht="16.5" customHeight="1" x14ac:dyDescent="0.3">
      <c r="A28" s="17">
        <v>5</v>
      </c>
      <c r="B28" s="474">
        <v>3135460</v>
      </c>
      <c r="C28" s="474">
        <v>6110.9</v>
      </c>
      <c r="D28" s="475">
        <v>1.2</v>
      </c>
      <c r="E28" s="475">
        <v>4.2</v>
      </c>
    </row>
    <row r="29" spans="1:6" ht="16.5" customHeight="1" x14ac:dyDescent="0.3">
      <c r="A29" s="17">
        <v>6</v>
      </c>
      <c r="B29" s="477">
        <v>3125235</v>
      </c>
      <c r="C29" s="477">
        <v>6074.2</v>
      </c>
      <c r="D29" s="478">
        <v>1.2</v>
      </c>
      <c r="E29" s="478">
        <v>4.2</v>
      </c>
    </row>
    <row r="30" spans="1:6" ht="16.5" customHeight="1" x14ac:dyDescent="0.3">
      <c r="A30" s="18" t="s">
        <v>18</v>
      </c>
      <c r="B30" s="19">
        <f>AVERAGE(B24:B29)</f>
        <v>3114528.1666666665</v>
      </c>
      <c r="C30" s="20">
        <f>AVERAGE(C24:C29)</f>
        <v>6306.0166666666664</v>
      </c>
      <c r="D30" s="21">
        <f>AVERAGE(D24:D29)</f>
        <v>1.2</v>
      </c>
      <c r="E30" s="21">
        <f>AVERAGE(E24:E29)</f>
        <v>4.2</v>
      </c>
    </row>
    <row r="31" spans="1:6" ht="16.5" customHeight="1" x14ac:dyDescent="0.3">
      <c r="A31" s="22" t="s">
        <v>19</v>
      </c>
      <c r="B31" s="23">
        <f>(STDEV(B24:B29)/B30)</f>
        <v>4.3802396649269488E-3</v>
      </c>
      <c r="C31" s="24"/>
      <c r="D31" s="24"/>
      <c r="E31" s="25"/>
      <c r="F31" s="2"/>
    </row>
    <row r="32" spans="1:6" s="2" customFormat="1" ht="16.5" customHeight="1" x14ac:dyDescent="0.3">
      <c r="A32" s="26" t="s">
        <v>20</v>
      </c>
      <c r="B32" s="27">
        <f>COUNT(B24:B29)</f>
        <v>6</v>
      </c>
      <c r="C32" s="28"/>
      <c r="D32" s="29"/>
      <c r="E32" s="30"/>
    </row>
    <row r="33" spans="1:6" s="2" customFormat="1" ht="15.75" customHeight="1" x14ac:dyDescent="0.25">
      <c r="A33" s="10"/>
      <c r="B33" s="10"/>
      <c r="C33" s="10"/>
      <c r="D33" s="10"/>
      <c r="E33" s="31"/>
    </row>
    <row r="34" spans="1:6" s="2" customFormat="1" ht="16.5" customHeight="1" x14ac:dyDescent="0.3">
      <c r="A34" s="11" t="s">
        <v>21</v>
      </c>
      <c r="B34" s="32" t="s">
        <v>22</v>
      </c>
      <c r="C34" s="33"/>
      <c r="D34" s="33"/>
      <c r="E34" s="34"/>
    </row>
    <row r="35" spans="1:6" ht="16.5" customHeight="1" x14ac:dyDescent="0.3">
      <c r="A35" s="11"/>
      <c r="B35" s="32" t="s">
        <v>23</v>
      </c>
      <c r="C35" s="33"/>
      <c r="D35" s="33"/>
      <c r="E35" s="34"/>
      <c r="F35" s="2"/>
    </row>
    <row r="36" spans="1:6" ht="16.5" customHeight="1" x14ac:dyDescent="0.3">
      <c r="A36" s="11"/>
      <c r="B36" s="35" t="s">
        <v>24</v>
      </c>
      <c r="C36" s="33"/>
      <c r="D36" s="33"/>
      <c r="E36" s="33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466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21.37</v>
      </c>
      <c r="C41" s="10"/>
      <c r="D41" s="10"/>
      <c r="E41" s="10"/>
    </row>
    <row r="42" spans="1:6" ht="16.5" customHeight="1" x14ac:dyDescent="0.3">
      <c r="A42" s="7" t="s">
        <v>10</v>
      </c>
      <c r="B42" s="13">
        <v>3.2000000000000001E-2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474">
        <v>3102648</v>
      </c>
      <c r="C45" s="474">
        <v>6656.8</v>
      </c>
      <c r="D45" s="475">
        <v>1.2</v>
      </c>
      <c r="E45" s="476">
        <v>4.2</v>
      </c>
    </row>
    <row r="46" spans="1:6" ht="16.5" customHeight="1" x14ac:dyDescent="0.3">
      <c r="A46" s="17">
        <v>2</v>
      </c>
      <c r="B46" s="474">
        <v>3112879</v>
      </c>
      <c r="C46" s="474">
        <v>6518</v>
      </c>
      <c r="D46" s="475">
        <v>1.2</v>
      </c>
      <c r="E46" s="475">
        <v>4.2</v>
      </c>
    </row>
    <row r="47" spans="1:6" ht="16.5" customHeight="1" x14ac:dyDescent="0.3">
      <c r="A47" s="17">
        <v>3</v>
      </c>
      <c r="B47" s="474">
        <v>3099559</v>
      </c>
      <c r="C47" s="474">
        <v>6310.3</v>
      </c>
      <c r="D47" s="475">
        <v>1.2</v>
      </c>
      <c r="E47" s="475">
        <v>4.2</v>
      </c>
    </row>
    <row r="48" spans="1:6" ht="16.5" customHeight="1" x14ac:dyDescent="0.3">
      <c r="A48" s="17">
        <v>4</v>
      </c>
      <c r="B48" s="474">
        <v>3111388</v>
      </c>
      <c r="C48" s="474">
        <v>6165.9</v>
      </c>
      <c r="D48" s="475">
        <v>1.2</v>
      </c>
      <c r="E48" s="475">
        <v>4.2</v>
      </c>
    </row>
    <row r="49" spans="1:7" ht="16.5" customHeight="1" x14ac:dyDescent="0.3">
      <c r="A49" s="17">
        <v>5</v>
      </c>
      <c r="B49" s="474">
        <v>3135460</v>
      </c>
      <c r="C49" s="474">
        <v>6110.9</v>
      </c>
      <c r="D49" s="475">
        <v>1.2</v>
      </c>
      <c r="E49" s="475">
        <v>4.2</v>
      </c>
    </row>
    <row r="50" spans="1:7" ht="16.5" customHeight="1" x14ac:dyDescent="0.3">
      <c r="A50" s="17">
        <v>6</v>
      </c>
      <c r="B50" s="477">
        <v>3125235</v>
      </c>
      <c r="C50" s="477">
        <v>6074.2</v>
      </c>
      <c r="D50" s="478">
        <v>1.2</v>
      </c>
      <c r="E50" s="478">
        <v>4.2</v>
      </c>
    </row>
    <row r="51" spans="1:7" ht="16.5" customHeight="1" x14ac:dyDescent="0.3">
      <c r="A51" s="18" t="s">
        <v>18</v>
      </c>
      <c r="B51" s="19">
        <f>AVERAGE(B45:B50)</f>
        <v>3114528.1666666665</v>
      </c>
      <c r="C51" s="20">
        <f>AVERAGE(C45:C50)</f>
        <v>6306.0166666666664</v>
      </c>
      <c r="D51" s="21">
        <f>AVERAGE(D45:D50)</f>
        <v>1.2</v>
      </c>
      <c r="E51" s="21">
        <f>AVERAGE(E45:E50)</f>
        <v>4.2</v>
      </c>
    </row>
    <row r="52" spans="1:7" ht="16.5" customHeight="1" x14ac:dyDescent="0.3">
      <c r="A52" s="22" t="s">
        <v>19</v>
      </c>
      <c r="B52" s="23">
        <f>(STDEV(B45:B50)/B51)</f>
        <v>4.3802396649269488E-3</v>
      </c>
      <c r="C52" s="24"/>
      <c r="D52" s="24"/>
      <c r="E52" s="25"/>
      <c r="F52" s="2"/>
    </row>
    <row r="53" spans="1:7" s="2" customFormat="1" ht="16.5" customHeight="1" x14ac:dyDescent="0.3">
      <c r="A53" s="26" t="s">
        <v>20</v>
      </c>
      <c r="B53" s="27">
        <f>COUNT(B45:B50)</f>
        <v>6</v>
      </c>
      <c r="C53" s="28"/>
      <c r="D53" s="29"/>
      <c r="E53" s="30"/>
    </row>
    <row r="54" spans="1:7" s="2" customFormat="1" ht="15.75" customHeight="1" x14ac:dyDescent="0.25">
      <c r="A54" s="10"/>
      <c r="B54" s="10"/>
      <c r="C54" s="10"/>
      <c r="D54" s="10"/>
      <c r="E54" s="31"/>
    </row>
    <row r="55" spans="1:7" s="2" customFormat="1" ht="16.5" customHeight="1" x14ac:dyDescent="0.3">
      <c r="A55" s="11" t="s">
        <v>21</v>
      </c>
      <c r="B55" s="32" t="s">
        <v>22</v>
      </c>
      <c r="C55" s="33"/>
      <c r="D55" s="33"/>
      <c r="E55" s="34"/>
    </row>
    <row r="56" spans="1:7" ht="16.5" customHeight="1" x14ac:dyDescent="0.3">
      <c r="A56" s="11"/>
      <c r="B56" s="32" t="s">
        <v>23</v>
      </c>
      <c r="C56" s="33"/>
      <c r="D56" s="33"/>
      <c r="E56" s="34"/>
      <c r="F56" s="2"/>
    </row>
    <row r="57" spans="1:7" ht="16.5" customHeight="1" x14ac:dyDescent="0.3">
      <c r="A57" s="11"/>
      <c r="B57" s="35" t="s">
        <v>24</v>
      </c>
      <c r="C57" s="33"/>
      <c r="D57" s="34"/>
      <c r="E57" s="33"/>
    </row>
    <row r="58" spans="1:7" ht="14.25" customHeight="1" x14ac:dyDescent="0.25">
      <c r="A58" s="36"/>
      <c r="B58" s="37"/>
      <c r="D58" s="38"/>
      <c r="F58" s="39"/>
      <c r="G58" s="39"/>
    </row>
    <row r="59" spans="1:7" ht="15" customHeight="1" x14ac:dyDescent="0.3">
      <c r="B59" s="481" t="s">
        <v>26</v>
      </c>
      <c r="C59" s="481"/>
      <c r="E59" s="40" t="s">
        <v>27</v>
      </c>
      <c r="F59" s="41"/>
      <c r="G59" s="40" t="s">
        <v>28</v>
      </c>
    </row>
    <row r="60" spans="1:7" ht="15" customHeight="1" x14ac:dyDescent="0.3">
      <c r="A60" s="42" t="s">
        <v>29</v>
      </c>
      <c r="B60" s="470" t="s">
        <v>135</v>
      </c>
      <c r="C60" s="470" t="s">
        <v>136</v>
      </c>
      <c r="E60" s="43"/>
      <c r="F60" s="2"/>
      <c r="G60" s="44"/>
    </row>
    <row r="61" spans="1:7" ht="15" customHeight="1" x14ac:dyDescent="0.3">
      <c r="A61" s="42" t="s">
        <v>30</v>
      </c>
      <c r="B61" s="45"/>
      <c r="C61" s="45"/>
      <c r="E61" s="45"/>
      <c r="F61" s="2"/>
      <c r="G61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58" sqref="C5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5" t="s">
        <v>31</v>
      </c>
      <c r="B11" s="486"/>
      <c r="C11" s="486"/>
      <c r="D11" s="486"/>
      <c r="E11" s="486"/>
      <c r="F11" s="487"/>
      <c r="G11" s="86"/>
    </row>
    <row r="12" spans="1:7" ht="16.5" customHeight="1" x14ac:dyDescent="0.3">
      <c r="A12" s="484" t="s">
        <v>32</v>
      </c>
      <c r="B12" s="484"/>
      <c r="C12" s="484"/>
      <c r="D12" s="484"/>
      <c r="E12" s="484"/>
      <c r="F12" s="484"/>
      <c r="G12" s="85"/>
    </row>
    <row r="14" spans="1:7" ht="16.5" customHeight="1" x14ac:dyDescent="0.3">
      <c r="A14" s="489" t="s">
        <v>33</v>
      </c>
      <c r="B14" s="489"/>
      <c r="C14" s="55" t="s">
        <v>5</v>
      </c>
    </row>
    <row r="15" spans="1:7" ht="16.5" customHeight="1" x14ac:dyDescent="0.3">
      <c r="A15" s="489" t="s">
        <v>34</v>
      </c>
      <c r="B15" s="489"/>
      <c r="C15" s="55" t="s">
        <v>7</v>
      </c>
    </row>
    <row r="16" spans="1:7" ht="16.5" customHeight="1" x14ac:dyDescent="0.3">
      <c r="A16" s="489" t="s">
        <v>35</v>
      </c>
      <c r="B16" s="489"/>
      <c r="C16" s="55" t="s">
        <v>9</v>
      </c>
    </row>
    <row r="17" spans="1:5" ht="16.5" customHeight="1" x14ac:dyDescent="0.3">
      <c r="A17" s="489" t="s">
        <v>36</v>
      </c>
      <c r="B17" s="489"/>
      <c r="C17" s="55" t="s">
        <v>11</v>
      </c>
    </row>
    <row r="18" spans="1:5" ht="16.5" customHeight="1" x14ac:dyDescent="0.3">
      <c r="A18" s="489" t="s">
        <v>37</v>
      </c>
      <c r="B18" s="489"/>
      <c r="C18" s="92" t="s">
        <v>12</v>
      </c>
    </row>
    <row r="19" spans="1:5" ht="16.5" customHeight="1" x14ac:dyDescent="0.3">
      <c r="A19" s="489" t="s">
        <v>38</v>
      </c>
      <c r="B19" s="489"/>
      <c r="C19" s="92" t="e">
        <f>#REF!</f>
        <v>#REF!</v>
      </c>
    </row>
    <row r="20" spans="1:5" ht="16.5" customHeight="1" x14ac:dyDescent="0.3">
      <c r="A20" s="57"/>
      <c r="B20" s="57"/>
      <c r="C20" s="72"/>
    </row>
    <row r="21" spans="1:5" ht="16.5" customHeight="1" x14ac:dyDescent="0.3">
      <c r="A21" s="484" t="s">
        <v>1</v>
      </c>
      <c r="B21" s="484"/>
      <c r="C21" s="54" t="s">
        <v>39</v>
      </c>
      <c r="D21" s="61"/>
    </row>
    <row r="22" spans="1:5" ht="15.75" customHeight="1" x14ac:dyDescent="0.3">
      <c r="A22" s="488"/>
      <c r="B22" s="488"/>
      <c r="C22" s="52"/>
      <c r="D22" s="488"/>
      <c r="E22" s="488"/>
    </row>
    <row r="23" spans="1:5" ht="33.75" customHeight="1" x14ac:dyDescent="0.3">
      <c r="C23" s="81" t="s">
        <v>40</v>
      </c>
      <c r="D23" s="80" t="s">
        <v>41</v>
      </c>
      <c r="E23" s="47"/>
    </row>
    <row r="24" spans="1:5" ht="15.75" customHeight="1" x14ac:dyDescent="0.3">
      <c r="C24" s="90">
        <v>1074.32</v>
      </c>
      <c r="D24" s="82">
        <f t="shared" ref="D24:D43" si="0">(C24-$C$46)/$C$46</f>
        <v>-6.6274459945214513E-3</v>
      </c>
      <c r="E24" s="48"/>
    </row>
    <row r="25" spans="1:5" ht="15.75" customHeight="1" x14ac:dyDescent="0.3">
      <c r="C25" s="90">
        <v>1066.8599999999999</v>
      </c>
      <c r="D25" s="83">
        <f t="shared" si="0"/>
        <v>-1.3525352812677036E-2</v>
      </c>
      <c r="E25" s="48"/>
    </row>
    <row r="26" spans="1:5" ht="15.75" customHeight="1" x14ac:dyDescent="0.3">
      <c r="C26" s="90">
        <v>1093.44</v>
      </c>
      <c r="D26" s="83">
        <f t="shared" si="0"/>
        <v>1.1051907673459102E-2</v>
      </c>
      <c r="E26" s="48"/>
    </row>
    <row r="27" spans="1:5" ht="15.75" customHeight="1" x14ac:dyDescent="0.3">
      <c r="C27" s="90">
        <v>1082.81</v>
      </c>
      <c r="D27" s="83">
        <f t="shared" si="0"/>
        <v>1.2228527837815886E-3</v>
      </c>
      <c r="E27" s="48"/>
    </row>
    <row r="28" spans="1:5" ht="15.75" customHeight="1" x14ac:dyDescent="0.3">
      <c r="C28" s="90">
        <v>1065.97</v>
      </c>
      <c r="D28" s="83">
        <f t="shared" si="0"/>
        <v>-1.4348293438435421E-2</v>
      </c>
      <c r="E28" s="48"/>
    </row>
    <row r="29" spans="1:5" ht="15.75" customHeight="1" x14ac:dyDescent="0.3">
      <c r="C29" s="90">
        <v>1093.3800000000001</v>
      </c>
      <c r="D29" s="83">
        <f t="shared" si="0"/>
        <v>1.099642853014959E-2</v>
      </c>
      <c r="E29" s="48"/>
    </row>
    <row r="30" spans="1:5" ht="15.75" customHeight="1" x14ac:dyDescent="0.3">
      <c r="C30" s="90">
        <v>1091.55</v>
      </c>
      <c r="D30" s="83">
        <f t="shared" si="0"/>
        <v>9.304314659207804E-3</v>
      </c>
      <c r="E30" s="48"/>
    </row>
    <row r="31" spans="1:5" ht="15.75" customHeight="1" x14ac:dyDescent="0.3">
      <c r="C31" s="90">
        <v>1084.68</v>
      </c>
      <c r="D31" s="83">
        <f t="shared" si="0"/>
        <v>2.951952750263049E-3</v>
      </c>
      <c r="E31" s="48"/>
    </row>
    <row r="32" spans="1:5" ht="15.75" customHeight="1" x14ac:dyDescent="0.3">
      <c r="C32" s="90">
        <v>1072.9000000000001</v>
      </c>
      <c r="D32" s="83">
        <f t="shared" si="0"/>
        <v>-7.9404523861809437E-3</v>
      </c>
      <c r="E32" s="48"/>
    </row>
    <row r="33" spans="1:7" ht="15.75" customHeight="1" x14ac:dyDescent="0.3">
      <c r="C33" s="90">
        <v>1094.68</v>
      </c>
      <c r="D33" s="83">
        <f t="shared" si="0"/>
        <v>1.219847663519006E-2</v>
      </c>
      <c r="E33" s="48"/>
    </row>
    <row r="34" spans="1:7" ht="15.75" customHeight="1" x14ac:dyDescent="0.3">
      <c r="C34" s="90">
        <v>1078.3</v>
      </c>
      <c r="D34" s="83">
        <f t="shared" si="0"/>
        <v>-2.9473294883204846E-3</v>
      </c>
      <c r="E34" s="48"/>
    </row>
    <row r="35" spans="1:7" ht="15.75" customHeight="1" x14ac:dyDescent="0.3">
      <c r="C35" s="90">
        <v>1089.07</v>
      </c>
      <c r="D35" s="83">
        <f t="shared" si="0"/>
        <v>7.0111767357458887E-3</v>
      </c>
      <c r="E35" s="48"/>
    </row>
    <row r="36" spans="1:7" ht="15.75" customHeight="1" x14ac:dyDescent="0.3">
      <c r="C36" s="90">
        <v>1099.78</v>
      </c>
      <c r="D36" s="83">
        <f t="shared" si="0"/>
        <v>1.691420381650275E-2</v>
      </c>
      <c r="E36" s="48"/>
    </row>
    <row r="37" spans="1:7" ht="15.75" customHeight="1" x14ac:dyDescent="0.3">
      <c r="C37" s="90">
        <v>1074.23</v>
      </c>
      <c r="D37" s="83">
        <f t="shared" si="0"/>
        <v>-6.7106647094857192E-3</v>
      </c>
      <c r="E37" s="48"/>
    </row>
    <row r="38" spans="1:7" ht="15.75" customHeight="1" x14ac:dyDescent="0.3">
      <c r="C38" s="90">
        <v>1081.3900000000001</v>
      </c>
      <c r="D38" s="83">
        <f t="shared" si="0"/>
        <v>-9.0153607877903804E-5</v>
      </c>
      <c r="E38" s="48"/>
    </row>
    <row r="39" spans="1:7" ht="15.75" customHeight="1" x14ac:dyDescent="0.3">
      <c r="C39" s="90">
        <v>1090.7</v>
      </c>
      <c r="D39" s="83">
        <f t="shared" si="0"/>
        <v>8.5183601289890928E-3</v>
      </c>
      <c r="E39" s="48"/>
    </row>
    <row r="40" spans="1:7" ht="15.75" customHeight="1" x14ac:dyDescent="0.3">
      <c r="C40" s="90">
        <v>1066.1500000000001</v>
      </c>
      <c r="D40" s="83">
        <f t="shared" si="0"/>
        <v>-1.4181856008506676E-2</v>
      </c>
      <c r="E40" s="48"/>
    </row>
    <row r="41" spans="1:7" ht="15.75" customHeight="1" x14ac:dyDescent="0.3">
      <c r="C41" s="90">
        <v>1072.55</v>
      </c>
      <c r="D41" s="83">
        <f t="shared" si="0"/>
        <v>-8.2640807221535158E-3</v>
      </c>
      <c r="E41" s="48"/>
    </row>
    <row r="42" spans="1:7" ht="15.75" customHeight="1" x14ac:dyDescent="0.3">
      <c r="C42" s="90">
        <v>1081.31</v>
      </c>
      <c r="D42" s="83">
        <f t="shared" si="0"/>
        <v>-1.6412579895746284E-4</v>
      </c>
      <c r="E42" s="48"/>
    </row>
    <row r="43" spans="1:7" ht="16.5" customHeight="1" x14ac:dyDescent="0.3">
      <c r="C43" s="91">
        <v>1075.68</v>
      </c>
      <c r="D43" s="84">
        <f t="shared" si="0"/>
        <v>-5.3699187461712606E-3</v>
      </c>
      <c r="E43" s="48"/>
    </row>
    <row r="44" spans="1:7" ht="16.5" customHeight="1" x14ac:dyDescent="0.3">
      <c r="C44" s="49"/>
      <c r="D44" s="48"/>
      <c r="E44" s="50"/>
    </row>
    <row r="45" spans="1:7" ht="16.5" customHeight="1" x14ac:dyDescent="0.3">
      <c r="B45" s="77" t="s">
        <v>42</v>
      </c>
      <c r="C45" s="78">
        <f>SUM(C24:C44)</f>
        <v>21629.75</v>
      </c>
      <c r="D45" s="73"/>
      <c r="E45" s="49"/>
    </row>
    <row r="46" spans="1:7" ht="17.25" customHeight="1" x14ac:dyDescent="0.3">
      <c r="B46" s="77" t="s">
        <v>43</v>
      </c>
      <c r="C46" s="79">
        <f>AVERAGE(C24:C44)</f>
        <v>1081.4875</v>
      </c>
      <c r="E46" s="51"/>
    </row>
    <row r="47" spans="1:7" ht="17.25" customHeight="1" x14ac:dyDescent="0.3">
      <c r="A47" s="55"/>
      <c r="B47" s="74"/>
      <c r="D47" s="53"/>
      <c r="E47" s="51"/>
    </row>
    <row r="48" spans="1:7" ht="33.75" customHeight="1" x14ac:dyDescent="0.3">
      <c r="B48" s="87" t="s">
        <v>43</v>
      </c>
      <c r="C48" s="80" t="s">
        <v>44</v>
      </c>
      <c r="D48" s="75"/>
      <c r="G48" s="53"/>
    </row>
    <row r="49" spans="1:6" ht="17.25" customHeight="1" x14ac:dyDescent="0.3">
      <c r="B49" s="482">
        <f>C46</f>
        <v>1081.4875</v>
      </c>
      <c r="C49" s="88">
        <f>-IF(C46&lt;=80,10%,IF(C46&lt;250,7.5%,5%))</f>
        <v>-0.05</v>
      </c>
      <c r="D49" s="76">
        <f>IF(C46&lt;=80,C46*0.9,IF(C46&lt;250,C46*0.925,C46*0.95))</f>
        <v>1027.4131249999998</v>
      </c>
    </row>
    <row r="50" spans="1:6" ht="17.25" customHeight="1" x14ac:dyDescent="0.3">
      <c r="B50" s="483"/>
      <c r="C50" s="89">
        <f>IF(C46&lt;=80, 10%, IF(C46&lt;250, 7.5%, 5%))</f>
        <v>0.05</v>
      </c>
      <c r="D50" s="76">
        <f>IF(C46&lt;=80, C46*1.1, IF(C46&lt;250, C46*1.075, C46*1.05))</f>
        <v>1135.5618750000001</v>
      </c>
    </row>
    <row r="51" spans="1:6" ht="16.5" customHeight="1" x14ac:dyDescent="0.3">
      <c r="A51" s="58"/>
      <c r="B51" s="59"/>
      <c r="C51" s="55"/>
      <c r="D51" s="60"/>
      <c r="E51" s="55"/>
      <c r="F51" s="61"/>
    </row>
    <row r="52" spans="1:6" ht="16.5" customHeight="1" x14ac:dyDescent="0.3">
      <c r="A52" s="55"/>
      <c r="B52" s="62" t="s">
        <v>26</v>
      </c>
      <c r="C52" s="62"/>
      <c r="D52" s="63" t="s">
        <v>27</v>
      </c>
      <c r="E52" s="64"/>
      <c r="F52" s="63" t="s">
        <v>28</v>
      </c>
    </row>
    <row r="53" spans="1:6" ht="34.5" customHeight="1" x14ac:dyDescent="0.3">
      <c r="A53" s="65" t="s">
        <v>29</v>
      </c>
      <c r="B53" s="66"/>
      <c r="C53" s="67"/>
      <c r="D53" s="66"/>
      <c r="E53" s="56"/>
      <c r="F53" s="68"/>
    </row>
    <row r="54" spans="1:6" ht="34.5" customHeight="1" x14ac:dyDescent="0.3">
      <c r="A54" s="65" t="s">
        <v>30</v>
      </c>
      <c r="B54" s="69"/>
      <c r="C54" s="70"/>
      <c r="D54" s="69"/>
      <c r="E54" s="56"/>
      <c r="F54" s="7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2" zoomScale="44" zoomScaleNormal="40" zoomScalePageLayoutView="44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2" t="s">
        <v>45</v>
      </c>
      <c r="B1" s="522"/>
      <c r="C1" s="522"/>
      <c r="D1" s="522"/>
      <c r="E1" s="522"/>
      <c r="F1" s="522"/>
      <c r="G1" s="522"/>
      <c r="H1" s="522"/>
      <c r="I1" s="522"/>
    </row>
    <row r="2" spans="1:9" ht="18.75" customHeight="1" x14ac:dyDescent="0.25">
      <c r="A2" s="522"/>
      <c r="B2" s="522"/>
      <c r="C2" s="522"/>
      <c r="D2" s="522"/>
      <c r="E2" s="522"/>
      <c r="F2" s="522"/>
      <c r="G2" s="522"/>
      <c r="H2" s="522"/>
      <c r="I2" s="522"/>
    </row>
    <row r="3" spans="1:9" ht="18.75" customHeight="1" x14ac:dyDescent="0.25">
      <c r="A3" s="522"/>
      <c r="B3" s="522"/>
      <c r="C3" s="522"/>
      <c r="D3" s="522"/>
      <c r="E3" s="522"/>
      <c r="F3" s="522"/>
      <c r="G3" s="522"/>
      <c r="H3" s="522"/>
      <c r="I3" s="522"/>
    </row>
    <row r="4" spans="1:9" ht="18.75" customHeight="1" x14ac:dyDescent="0.25">
      <c r="A4" s="522"/>
      <c r="B4" s="522"/>
      <c r="C4" s="522"/>
      <c r="D4" s="522"/>
      <c r="E4" s="522"/>
      <c r="F4" s="522"/>
      <c r="G4" s="522"/>
      <c r="H4" s="522"/>
      <c r="I4" s="522"/>
    </row>
    <row r="5" spans="1:9" ht="18.75" customHeight="1" x14ac:dyDescent="0.25">
      <c r="A5" s="522"/>
      <c r="B5" s="522"/>
      <c r="C5" s="522"/>
      <c r="D5" s="522"/>
      <c r="E5" s="522"/>
      <c r="F5" s="522"/>
      <c r="G5" s="522"/>
      <c r="H5" s="522"/>
      <c r="I5" s="522"/>
    </row>
    <row r="6" spans="1:9" ht="18.75" customHeight="1" x14ac:dyDescent="0.25">
      <c r="A6" s="522"/>
      <c r="B6" s="522"/>
      <c r="C6" s="522"/>
      <c r="D6" s="522"/>
      <c r="E6" s="522"/>
      <c r="F6" s="522"/>
      <c r="G6" s="522"/>
      <c r="H6" s="522"/>
      <c r="I6" s="522"/>
    </row>
    <row r="7" spans="1:9" ht="18.75" customHeight="1" x14ac:dyDescent="0.25">
      <c r="A7" s="522"/>
      <c r="B7" s="522"/>
      <c r="C7" s="522"/>
      <c r="D7" s="522"/>
      <c r="E7" s="522"/>
      <c r="F7" s="522"/>
      <c r="G7" s="522"/>
      <c r="H7" s="522"/>
      <c r="I7" s="522"/>
    </row>
    <row r="8" spans="1:9" x14ac:dyDescent="0.25">
      <c r="A8" s="523" t="s">
        <v>46</v>
      </c>
      <c r="B8" s="523"/>
      <c r="C8" s="523"/>
      <c r="D8" s="523"/>
      <c r="E8" s="523"/>
      <c r="F8" s="523"/>
      <c r="G8" s="523"/>
      <c r="H8" s="523"/>
      <c r="I8" s="523"/>
    </row>
    <row r="9" spans="1:9" x14ac:dyDescent="0.25">
      <c r="A9" s="523"/>
      <c r="B9" s="523"/>
      <c r="C9" s="523"/>
      <c r="D9" s="523"/>
      <c r="E9" s="523"/>
      <c r="F9" s="523"/>
      <c r="G9" s="523"/>
      <c r="H9" s="523"/>
      <c r="I9" s="523"/>
    </row>
    <row r="10" spans="1:9" x14ac:dyDescent="0.25">
      <c r="A10" s="523"/>
      <c r="B10" s="523"/>
      <c r="C10" s="523"/>
      <c r="D10" s="523"/>
      <c r="E10" s="523"/>
      <c r="F10" s="523"/>
      <c r="G10" s="523"/>
      <c r="H10" s="523"/>
      <c r="I10" s="523"/>
    </row>
    <row r="11" spans="1:9" x14ac:dyDescent="0.25">
      <c r="A11" s="523"/>
      <c r="B11" s="523"/>
      <c r="C11" s="523"/>
      <c r="D11" s="523"/>
      <c r="E11" s="523"/>
      <c r="F11" s="523"/>
      <c r="G11" s="523"/>
      <c r="H11" s="523"/>
      <c r="I11" s="523"/>
    </row>
    <row r="12" spans="1:9" x14ac:dyDescent="0.25">
      <c r="A12" s="523"/>
      <c r="B12" s="523"/>
      <c r="C12" s="523"/>
      <c r="D12" s="523"/>
      <c r="E12" s="523"/>
      <c r="F12" s="523"/>
      <c r="G12" s="523"/>
      <c r="H12" s="523"/>
      <c r="I12" s="523"/>
    </row>
    <row r="13" spans="1:9" x14ac:dyDescent="0.25">
      <c r="A13" s="523"/>
      <c r="B13" s="523"/>
      <c r="C13" s="523"/>
      <c r="D13" s="523"/>
      <c r="E13" s="523"/>
      <c r="F13" s="523"/>
      <c r="G13" s="523"/>
      <c r="H13" s="523"/>
      <c r="I13" s="523"/>
    </row>
    <row r="14" spans="1:9" x14ac:dyDescent="0.25">
      <c r="A14" s="523"/>
      <c r="B14" s="523"/>
      <c r="C14" s="523"/>
      <c r="D14" s="523"/>
      <c r="E14" s="523"/>
      <c r="F14" s="523"/>
      <c r="G14" s="523"/>
      <c r="H14" s="523"/>
      <c r="I14" s="523"/>
    </row>
    <row r="15" spans="1:9" ht="19.5" customHeight="1" x14ac:dyDescent="0.3">
      <c r="A15" s="93"/>
    </row>
    <row r="16" spans="1:9" ht="19.5" customHeight="1" x14ac:dyDescent="0.3">
      <c r="A16" s="494" t="s">
        <v>31</v>
      </c>
      <c r="B16" s="495"/>
      <c r="C16" s="495"/>
      <c r="D16" s="495"/>
      <c r="E16" s="495"/>
      <c r="F16" s="495"/>
      <c r="G16" s="495"/>
      <c r="H16" s="496"/>
    </row>
    <row r="17" spans="1:14" ht="20.25" customHeight="1" x14ac:dyDescent="0.25">
      <c r="A17" s="497" t="s">
        <v>47</v>
      </c>
      <c r="B17" s="497"/>
      <c r="C17" s="497"/>
      <c r="D17" s="497"/>
      <c r="E17" s="497"/>
      <c r="F17" s="497"/>
      <c r="G17" s="497"/>
      <c r="H17" s="497"/>
    </row>
    <row r="18" spans="1:14" ht="26.25" customHeight="1" x14ac:dyDescent="0.4">
      <c r="A18" s="95" t="s">
        <v>33</v>
      </c>
      <c r="B18" s="493" t="s">
        <v>5</v>
      </c>
      <c r="C18" s="493"/>
      <c r="D18" s="240"/>
      <c r="E18" s="96"/>
      <c r="F18" s="97"/>
      <c r="G18" s="97"/>
      <c r="H18" s="97"/>
    </row>
    <row r="19" spans="1:14" ht="26.25" customHeight="1" x14ac:dyDescent="0.4">
      <c r="A19" s="95" t="s">
        <v>34</v>
      </c>
      <c r="B19" s="98" t="s">
        <v>7</v>
      </c>
      <c r="C19" s="249">
        <v>1</v>
      </c>
      <c r="D19" s="97"/>
      <c r="E19" s="97"/>
      <c r="F19" s="97"/>
      <c r="G19" s="97"/>
      <c r="H19" s="97"/>
    </row>
    <row r="20" spans="1:14" ht="26.25" customHeight="1" x14ac:dyDescent="0.4">
      <c r="A20" s="95" t="s">
        <v>35</v>
      </c>
      <c r="B20" s="498" t="s">
        <v>9</v>
      </c>
      <c r="C20" s="498"/>
      <c r="D20" s="97"/>
      <c r="E20" s="97"/>
      <c r="F20" s="97"/>
      <c r="G20" s="97"/>
      <c r="H20" s="97"/>
    </row>
    <row r="21" spans="1:14" ht="26.25" customHeight="1" x14ac:dyDescent="0.4">
      <c r="A21" s="95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99"/>
    </row>
    <row r="22" spans="1:14" ht="26.25" customHeight="1" x14ac:dyDescent="0.4">
      <c r="A22" s="95" t="s">
        <v>37</v>
      </c>
      <c r="B22" s="100" t="s">
        <v>12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5" t="s">
        <v>38</v>
      </c>
      <c r="B23" s="471">
        <v>43047</v>
      </c>
      <c r="C23" s="97"/>
      <c r="D23" s="97"/>
      <c r="E23" s="97"/>
      <c r="F23" s="97"/>
      <c r="G23" s="97"/>
      <c r="H23" s="97"/>
    </row>
    <row r="24" spans="1:14" ht="18.75" x14ac:dyDescent="0.3">
      <c r="A24" s="95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492" t="s">
        <v>132</v>
      </c>
      <c r="C26" s="493"/>
    </row>
    <row r="27" spans="1:14" ht="26.25" customHeight="1" x14ac:dyDescent="0.4">
      <c r="A27" s="104" t="s">
        <v>48</v>
      </c>
      <c r="B27" s="499" t="s">
        <v>137</v>
      </c>
      <c r="C27" s="500"/>
    </row>
    <row r="28" spans="1:14" ht="27" customHeight="1" x14ac:dyDescent="0.4">
      <c r="A28" s="104" t="s">
        <v>6</v>
      </c>
      <c r="B28" s="105">
        <v>99.02</v>
      </c>
    </row>
    <row r="29" spans="1:14" s="14" customFormat="1" ht="27" customHeight="1" x14ac:dyDescent="0.4">
      <c r="A29" s="104" t="s">
        <v>49</v>
      </c>
      <c r="B29" s="106">
        <v>0</v>
      </c>
      <c r="C29" s="501" t="s">
        <v>50</v>
      </c>
      <c r="D29" s="502"/>
      <c r="E29" s="502"/>
      <c r="F29" s="502"/>
      <c r="G29" s="503"/>
      <c r="I29" s="107"/>
      <c r="J29" s="107"/>
      <c r="K29" s="107"/>
      <c r="L29" s="107"/>
    </row>
    <row r="30" spans="1:14" s="14" customFormat="1" ht="19.5" customHeight="1" x14ac:dyDescent="0.3">
      <c r="A30" s="104" t="s">
        <v>51</v>
      </c>
      <c r="B30" s="108">
        <f>B28-B29</f>
        <v>99.02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14" customFormat="1" ht="27" customHeight="1" x14ac:dyDescent="0.4">
      <c r="A31" s="104" t="s">
        <v>52</v>
      </c>
      <c r="B31" s="111">
        <v>1</v>
      </c>
      <c r="C31" s="504" t="s">
        <v>53</v>
      </c>
      <c r="D31" s="505"/>
      <c r="E31" s="505"/>
      <c r="F31" s="505"/>
      <c r="G31" s="505"/>
      <c r="H31" s="506"/>
      <c r="I31" s="107"/>
      <c r="J31" s="107"/>
      <c r="K31" s="107"/>
      <c r="L31" s="107"/>
    </row>
    <row r="32" spans="1:14" s="14" customFormat="1" ht="27" customHeight="1" x14ac:dyDescent="0.4">
      <c r="A32" s="104" t="s">
        <v>54</v>
      </c>
      <c r="B32" s="111">
        <v>1</v>
      </c>
      <c r="C32" s="504" t="s">
        <v>55</v>
      </c>
      <c r="D32" s="505"/>
      <c r="E32" s="505"/>
      <c r="F32" s="505"/>
      <c r="G32" s="505"/>
      <c r="H32" s="506"/>
      <c r="I32" s="107"/>
      <c r="J32" s="107"/>
      <c r="K32" s="107"/>
      <c r="L32" s="112"/>
      <c r="M32" s="112"/>
      <c r="N32" s="113"/>
    </row>
    <row r="33" spans="1:14" s="14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14" customFormat="1" ht="18.75" x14ac:dyDescent="0.3">
      <c r="A34" s="104" t="s">
        <v>56</v>
      </c>
      <c r="B34" s="116">
        <f>B31/B32</f>
        <v>1</v>
      </c>
      <c r="C34" s="94" t="s">
        <v>57</v>
      </c>
      <c r="D34" s="94"/>
      <c r="E34" s="94"/>
      <c r="F34" s="94"/>
      <c r="G34" s="94"/>
      <c r="I34" s="107"/>
      <c r="J34" s="107"/>
      <c r="K34" s="107"/>
      <c r="L34" s="112"/>
      <c r="M34" s="112"/>
      <c r="N34" s="113"/>
    </row>
    <row r="35" spans="1:14" s="14" customFormat="1" ht="19.5" customHeight="1" x14ac:dyDescent="0.3">
      <c r="A35" s="104"/>
      <c r="B35" s="108"/>
      <c r="G35" s="94"/>
      <c r="I35" s="107"/>
      <c r="J35" s="107"/>
      <c r="K35" s="107"/>
      <c r="L35" s="112"/>
      <c r="M35" s="112"/>
      <c r="N35" s="113"/>
    </row>
    <row r="36" spans="1:14" s="14" customFormat="1" ht="27" customHeight="1" x14ac:dyDescent="0.4">
      <c r="A36" s="117" t="s">
        <v>58</v>
      </c>
      <c r="B36" s="118">
        <v>100</v>
      </c>
      <c r="C36" s="94"/>
      <c r="D36" s="507" t="s">
        <v>59</v>
      </c>
      <c r="E36" s="508"/>
      <c r="F36" s="507" t="s">
        <v>60</v>
      </c>
      <c r="G36" s="509"/>
      <c r="J36" s="107"/>
      <c r="K36" s="107"/>
      <c r="L36" s="112"/>
      <c r="M36" s="112"/>
      <c r="N36" s="113"/>
    </row>
    <row r="37" spans="1:14" s="14" customFormat="1" ht="27" customHeight="1" x14ac:dyDescent="0.4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14" customFormat="1" ht="26.25" customHeight="1" x14ac:dyDescent="0.4">
      <c r="A38" s="119" t="s">
        <v>66</v>
      </c>
      <c r="B38" s="120">
        <v>1</v>
      </c>
      <c r="C38" s="126">
        <v>1</v>
      </c>
      <c r="D38" s="479">
        <v>34201928</v>
      </c>
      <c r="E38" s="127">
        <f>IF(ISBLANK(D38),"-",$D$48/$D$45*D38)</f>
        <v>34432821.589269549</v>
      </c>
      <c r="F38" s="479">
        <v>36104831</v>
      </c>
      <c r="G38" s="128">
        <f>IF(ISBLANK(F38),"-",$D$48/$F$45*F38)</f>
        <v>34663966.88737987</v>
      </c>
      <c r="I38" s="129"/>
      <c r="J38" s="107"/>
      <c r="K38" s="107"/>
      <c r="L38" s="112"/>
      <c r="M38" s="112"/>
      <c r="N38" s="113"/>
    </row>
    <row r="39" spans="1:14" s="14" customFormat="1" ht="26.25" customHeight="1" x14ac:dyDescent="0.4">
      <c r="A39" s="119" t="s">
        <v>67</v>
      </c>
      <c r="B39" s="120">
        <v>1</v>
      </c>
      <c r="C39" s="130">
        <v>2</v>
      </c>
      <c r="D39" s="317">
        <v>34342570</v>
      </c>
      <c r="E39" s="132">
        <f>IF(ISBLANK(D39),"-",$D$48/$D$45*D39)</f>
        <v>34574413.04849834</v>
      </c>
      <c r="F39" s="317">
        <v>36255794</v>
      </c>
      <c r="G39" s="133">
        <f>IF(ISBLANK(F39),"-",$D$48/$F$45*F39)</f>
        <v>34808905.287263796</v>
      </c>
      <c r="I39" s="511">
        <f>ABS((F43/D43*D42)-F42)/D42</f>
        <v>6.5625808491388193E-3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0">
        <v>3</v>
      </c>
      <c r="D40" s="317">
        <v>34327670</v>
      </c>
      <c r="E40" s="132">
        <f>IF(ISBLANK(D40),"-",$D$48/$D$45*D40)</f>
        <v>34559412.460178286</v>
      </c>
      <c r="F40" s="317">
        <v>36186045</v>
      </c>
      <c r="G40" s="133">
        <f>IF(ISBLANK(F40),"-",$D$48/$F$45*F40)</f>
        <v>34741939.815899931</v>
      </c>
      <c r="I40" s="511"/>
      <c r="L40" s="112"/>
      <c r="M40" s="112"/>
      <c r="N40" s="134"/>
    </row>
    <row r="41" spans="1:14" ht="27" customHeight="1" x14ac:dyDescent="0.4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134"/>
    </row>
    <row r="42" spans="1:14" ht="27" customHeight="1" x14ac:dyDescent="0.4">
      <c r="A42" s="119" t="s">
        <v>70</v>
      </c>
      <c r="B42" s="120">
        <v>1</v>
      </c>
      <c r="C42" s="140" t="s">
        <v>71</v>
      </c>
      <c r="D42" s="141">
        <f>AVERAGE(D38:D41)</f>
        <v>34290722.666666664</v>
      </c>
      <c r="E42" s="142">
        <f>AVERAGE(E38:E41)</f>
        <v>34522215.699315391</v>
      </c>
      <c r="F42" s="141">
        <f>AVERAGE(F38:F41)</f>
        <v>36182223.333333336</v>
      </c>
      <c r="G42" s="143">
        <f>AVERAGE(G38:G41)</f>
        <v>34738270.663514532</v>
      </c>
      <c r="H42" s="144"/>
    </row>
    <row r="43" spans="1:14" ht="26.25" customHeight="1" x14ac:dyDescent="0.4">
      <c r="A43" s="119" t="s">
        <v>72</v>
      </c>
      <c r="B43" s="120">
        <v>1</v>
      </c>
      <c r="C43" s="145" t="s">
        <v>73</v>
      </c>
      <c r="D43" s="146">
        <v>16.05</v>
      </c>
      <c r="E43" s="134"/>
      <c r="F43" s="146">
        <v>16.829999999999998</v>
      </c>
      <c r="H43" s="144"/>
    </row>
    <row r="44" spans="1:14" ht="26.25" customHeight="1" x14ac:dyDescent="0.4">
      <c r="A44" s="119" t="s">
        <v>74</v>
      </c>
      <c r="B44" s="120">
        <v>1</v>
      </c>
      <c r="C44" s="147" t="s">
        <v>75</v>
      </c>
      <c r="D44" s="148">
        <f>D43*$B$34</f>
        <v>16.05</v>
      </c>
      <c r="E44" s="149"/>
      <c r="F44" s="148">
        <f>F43*$B$34</f>
        <v>16.829999999999998</v>
      </c>
      <c r="H44" s="144"/>
    </row>
    <row r="45" spans="1:14" ht="19.5" customHeight="1" x14ac:dyDescent="0.3">
      <c r="A45" s="119" t="s">
        <v>76</v>
      </c>
      <c r="B45" s="150">
        <f>(B44/B43)*(B42/B41)*(B40/B39)*(B38/B37)*B36</f>
        <v>100</v>
      </c>
      <c r="C45" s="147" t="s">
        <v>77</v>
      </c>
      <c r="D45" s="151">
        <f>D44*$B$30/100</f>
        <v>15.892709999999999</v>
      </c>
      <c r="E45" s="152"/>
      <c r="F45" s="151">
        <f>F44*$B$30/100</f>
        <v>16.665065999999996</v>
      </c>
      <c r="H45" s="144"/>
    </row>
    <row r="46" spans="1:14" ht="19.5" customHeight="1" x14ac:dyDescent="0.3">
      <c r="A46" s="512" t="s">
        <v>78</v>
      </c>
      <c r="B46" s="513"/>
      <c r="C46" s="147" t="s">
        <v>79</v>
      </c>
      <c r="D46" s="153">
        <f>D45/$B$45</f>
        <v>0.15892709999999999</v>
      </c>
      <c r="E46" s="154"/>
      <c r="F46" s="155">
        <f>F45/$B$45</f>
        <v>0.16665065999999995</v>
      </c>
      <c r="H46" s="144"/>
    </row>
    <row r="47" spans="1:14" ht="27" customHeight="1" x14ac:dyDescent="0.4">
      <c r="A47" s="514"/>
      <c r="B47" s="515"/>
      <c r="C47" s="156" t="s">
        <v>80</v>
      </c>
      <c r="D47" s="157">
        <v>0.16</v>
      </c>
      <c r="E47" s="158"/>
      <c r="F47" s="154"/>
      <c r="H47" s="144"/>
    </row>
    <row r="48" spans="1:14" ht="18.75" x14ac:dyDescent="0.3">
      <c r="C48" s="159" t="s">
        <v>81</v>
      </c>
      <c r="D48" s="151">
        <f>D47*$B$45</f>
        <v>16</v>
      </c>
      <c r="F48" s="160"/>
      <c r="H48" s="144"/>
    </row>
    <row r="49" spans="1:12" ht="19.5" customHeight="1" x14ac:dyDescent="0.3">
      <c r="C49" s="161" t="s">
        <v>82</v>
      </c>
      <c r="D49" s="162">
        <f>D48/B34</f>
        <v>16</v>
      </c>
      <c r="F49" s="160"/>
      <c r="H49" s="144"/>
    </row>
    <row r="50" spans="1:12" ht="18.75" x14ac:dyDescent="0.3">
      <c r="C50" s="117" t="s">
        <v>83</v>
      </c>
      <c r="D50" s="163">
        <f>AVERAGE(E38:E41,G38:G41)</f>
        <v>34630243.181414969</v>
      </c>
      <c r="F50" s="164"/>
      <c r="H50" s="144"/>
    </row>
    <row r="51" spans="1:12" ht="18.75" x14ac:dyDescent="0.3">
      <c r="C51" s="119" t="s">
        <v>84</v>
      </c>
      <c r="D51" s="165">
        <f>STDEV(E38:E41,G38:G41)/D50</f>
        <v>3.9306594676658787E-3</v>
      </c>
      <c r="F51" s="164"/>
      <c r="H51" s="144"/>
    </row>
    <row r="52" spans="1:12" ht="19.5" customHeight="1" x14ac:dyDescent="0.3">
      <c r="C52" s="166" t="s">
        <v>20</v>
      </c>
      <c r="D52" s="167">
        <f>COUNT(E38:E41,G38:G41)</f>
        <v>6</v>
      </c>
      <c r="F52" s="164"/>
    </row>
    <row r="54" spans="1:12" ht="18.75" x14ac:dyDescent="0.3">
      <c r="A54" s="168" t="s">
        <v>1</v>
      </c>
      <c r="B54" s="169" t="s">
        <v>85</v>
      </c>
    </row>
    <row r="55" spans="1:12" ht="18.75" x14ac:dyDescent="0.3">
      <c r="A55" s="94" t="s">
        <v>86</v>
      </c>
      <c r="B55" s="170" t="str">
        <f>B21</f>
        <v>Each tablet contains: Sulfamethoxazole BP 800 mg and Trimethoprim BP 160 mg.</v>
      </c>
    </row>
    <row r="56" spans="1:12" ht="26.25" customHeight="1" x14ac:dyDescent="0.4">
      <c r="A56" s="171" t="s">
        <v>87</v>
      </c>
      <c r="B56" s="172">
        <v>800</v>
      </c>
      <c r="C56" s="94" t="str">
        <f>B20</f>
        <v>Sulfamethoxazole &amp; Trimethoprim</v>
      </c>
      <c r="H56" s="173"/>
    </row>
    <row r="57" spans="1:12" ht="18.75" x14ac:dyDescent="0.3">
      <c r="A57" s="170" t="s">
        <v>88</v>
      </c>
      <c r="B57" s="241">
        <f>Uniformity!C46</f>
        <v>1081.4875</v>
      </c>
      <c r="H57" s="173"/>
    </row>
    <row r="58" spans="1:12" ht="19.5" customHeight="1" x14ac:dyDescent="0.3">
      <c r="H58" s="173"/>
    </row>
    <row r="59" spans="1:12" s="14" customFormat="1" ht="27" customHeight="1" thickBot="1" x14ac:dyDescent="0.45">
      <c r="A59" s="117" t="s">
        <v>89</v>
      </c>
      <c r="B59" s="118">
        <v>100</v>
      </c>
      <c r="C59" s="94"/>
      <c r="D59" s="174" t="s">
        <v>90</v>
      </c>
      <c r="E59" s="175" t="s">
        <v>62</v>
      </c>
      <c r="F59" s="175" t="s">
        <v>63</v>
      </c>
      <c r="G59" s="175" t="s">
        <v>91</v>
      </c>
      <c r="H59" s="121" t="s">
        <v>92</v>
      </c>
      <c r="L59" s="107"/>
    </row>
    <row r="60" spans="1:12" s="14" customFormat="1" ht="26.25" customHeight="1" x14ac:dyDescent="0.4">
      <c r="A60" s="119" t="s">
        <v>93</v>
      </c>
      <c r="B60" s="120">
        <v>2</v>
      </c>
      <c r="C60" s="516" t="s">
        <v>94</v>
      </c>
      <c r="D60" s="519">
        <v>1089.02</v>
      </c>
      <c r="E60" s="176">
        <v>1</v>
      </c>
      <c r="F60" s="177">
        <v>34491092</v>
      </c>
      <c r="G60" s="242">
        <f>IF(ISBLANK(F60),"-",(F60/$D$50*$D$47*$B$68)*($B$57/$D$60))</f>
        <v>791.27426042166871</v>
      </c>
      <c r="H60" s="260">
        <f t="shared" ref="H60:H71" si="0">IF(ISBLANK(F60),"-",(G60/$B$56)*100)</f>
        <v>98.909282552708589</v>
      </c>
      <c r="L60" s="107"/>
    </row>
    <row r="61" spans="1:12" s="14" customFormat="1" ht="26.25" customHeight="1" x14ac:dyDescent="0.4">
      <c r="A61" s="119" t="s">
        <v>95</v>
      </c>
      <c r="B61" s="120">
        <v>100</v>
      </c>
      <c r="C61" s="517"/>
      <c r="D61" s="520"/>
      <c r="E61" s="178">
        <v>2</v>
      </c>
      <c r="F61" s="131">
        <v>34665202</v>
      </c>
      <c r="G61" s="243">
        <f>IF(ISBLANK(F61),"-",(F61/$D$50*$D$47*$B$68)*($B$57/$D$60))</f>
        <v>795.26858920319921</v>
      </c>
      <c r="H61" s="261">
        <f t="shared" si="0"/>
        <v>99.408573650399902</v>
      </c>
      <c r="L61" s="107"/>
    </row>
    <row r="62" spans="1:12" s="14" customFormat="1" ht="26.25" customHeight="1" x14ac:dyDescent="0.4">
      <c r="A62" s="119" t="s">
        <v>96</v>
      </c>
      <c r="B62" s="120">
        <v>1</v>
      </c>
      <c r="C62" s="517"/>
      <c r="D62" s="520"/>
      <c r="E62" s="178">
        <v>3</v>
      </c>
      <c r="F62" s="179">
        <v>34377636</v>
      </c>
      <c r="G62" s="243">
        <f>IF(ISBLANK(F62),"-",(F62/$D$50*$D$47*$B$68)*($B$57/$D$60))</f>
        <v>788.67141988271453</v>
      </c>
      <c r="H62" s="261">
        <f t="shared" si="0"/>
        <v>98.583927485339316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518"/>
      <c r="D63" s="521"/>
      <c r="E63" s="180">
        <v>4</v>
      </c>
      <c r="F63" s="181"/>
      <c r="G63" s="243" t="str">
        <f>IF(ISBLANK(F63),"-",(F63/$D$50*$D$47*$B$68)*($B$57/$D$60))</f>
        <v>-</v>
      </c>
      <c r="H63" s="261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516" t="s">
        <v>99</v>
      </c>
      <c r="D64" s="519">
        <v>1073.57</v>
      </c>
      <c r="E64" s="176">
        <v>1</v>
      </c>
      <c r="F64" s="177">
        <v>34301803</v>
      </c>
      <c r="G64" s="242">
        <f>IF(ISBLANK(F64),"-",(F64/$D$50*$D$47*$B$68)*($B$57/$D$64))</f>
        <v>798.25662441818395</v>
      </c>
      <c r="H64" s="260">
        <f t="shared" si="0"/>
        <v>99.782078052272993</v>
      </c>
    </row>
    <row r="65" spans="1:8" ht="26.25" customHeight="1" x14ac:dyDescent="0.4">
      <c r="A65" s="119" t="s">
        <v>100</v>
      </c>
      <c r="B65" s="120">
        <v>1</v>
      </c>
      <c r="C65" s="517"/>
      <c r="D65" s="520"/>
      <c r="E65" s="178">
        <v>2</v>
      </c>
      <c r="F65" s="131">
        <v>34108692</v>
      </c>
      <c r="G65" s="243">
        <f>IF(ISBLANK(F65),"-",(F65/$D$50*$D$47*$B$68)*($B$57/$D$64))</f>
        <v>793.76262930667281</v>
      </c>
      <c r="H65" s="261">
        <f t="shared" si="0"/>
        <v>99.220328663334101</v>
      </c>
    </row>
    <row r="66" spans="1:8" ht="26.25" customHeight="1" x14ac:dyDescent="0.4">
      <c r="A66" s="119" t="s">
        <v>101</v>
      </c>
      <c r="B66" s="120">
        <v>1</v>
      </c>
      <c r="C66" s="517"/>
      <c r="D66" s="520"/>
      <c r="E66" s="178">
        <v>3</v>
      </c>
      <c r="F66" s="131">
        <v>33939811</v>
      </c>
      <c r="G66" s="243">
        <f>IF(ISBLANK(F66),"-",(F66/$D$50*$D$47*$B$68)*($B$57/$D$64))</f>
        <v>789.8325042054247</v>
      </c>
      <c r="H66" s="261">
        <f t="shared" si="0"/>
        <v>98.729063025678087</v>
      </c>
    </row>
    <row r="67" spans="1:8" ht="27" customHeight="1" thickBot="1" x14ac:dyDescent="0.45">
      <c r="A67" s="119" t="s">
        <v>102</v>
      </c>
      <c r="B67" s="120">
        <v>1</v>
      </c>
      <c r="C67" s="518"/>
      <c r="D67" s="521"/>
      <c r="E67" s="180">
        <v>4</v>
      </c>
      <c r="F67" s="181"/>
      <c r="G67" s="259" t="str">
        <f>IF(ISBLANK(F67),"-",(F67/$D$50*$D$47*$B$68)*($B$57/$D$64))</f>
        <v>-</v>
      </c>
      <c r="H67" s="262" t="str">
        <f t="shared" si="0"/>
        <v>-</v>
      </c>
    </row>
    <row r="68" spans="1:8" ht="26.25" customHeight="1" x14ac:dyDescent="0.4">
      <c r="A68" s="119" t="s">
        <v>103</v>
      </c>
      <c r="B68" s="182">
        <f>(B67/B66)*(B65/B64)*(B63/B62)*(B61/B60)*B59</f>
        <v>5000</v>
      </c>
      <c r="C68" s="516" t="s">
        <v>104</v>
      </c>
      <c r="D68" s="519">
        <v>1083.8900000000001</v>
      </c>
      <c r="E68" s="176">
        <v>1</v>
      </c>
      <c r="F68" s="177">
        <v>33797243</v>
      </c>
      <c r="G68" s="242">
        <f>IF(ISBLANK(F68),"-",(F68/$D$50*$D$47*$B$68)*($B$57/$D$68))</f>
        <v>779.02611151708572</v>
      </c>
      <c r="H68" s="261">
        <f t="shared" si="0"/>
        <v>97.378263939635715</v>
      </c>
    </row>
    <row r="69" spans="1:8" ht="27" customHeight="1" thickBot="1" x14ac:dyDescent="0.45">
      <c r="A69" s="166" t="s">
        <v>105</v>
      </c>
      <c r="B69" s="183">
        <f>(D47*B68)/B56*B57</f>
        <v>1081.4875</v>
      </c>
      <c r="C69" s="517"/>
      <c r="D69" s="520"/>
      <c r="E69" s="178">
        <v>2</v>
      </c>
      <c r="F69" s="131">
        <v>33824070</v>
      </c>
      <c r="G69" s="243">
        <f>IF(ISBLANK(F69),"-",(F69/$D$50*$D$47*$B$68)*($B$57/$D$68))</f>
        <v>779.64447359749772</v>
      </c>
      <c r="H69" s="261">
        <f t="shared" si="0"/>
        <v>97.455559199687215</v>
      </c>
    </row>
    <row r="70" spans="1:8" ht="26.25" customHeight="1" x14ac:dyDescent="0.4">
      <c r="A70" s="529" t="s">
        <v>78</v>
      </c>
      <c r="B70" s="530"/>
      <c r="C70" s="517"/>
      <c r="D70" s="520"/>
      <c r="E70" s="178">
        <v>3</v>
      </c>
      <c r="F70" s="131">
        <v>33941051</v>
      </c>
      <c r="G70" s="243">
        <f>IF(ISBLANK(F70),"-",(F70/$D$50*$D$47*$B$68)*($B$57/$D$68))</f>
        <v>782.34088447194029</v>
      </c>
      <c r="H70" s="261">
        <f t="shared" si="0"/>
        <v>97.792610558992536</v>
      </c>
    </row>
    <row r="71" spans="1:8" ht="27" customHeight="1" thickBot="1" x14ac:dyDescent="0.45">
      <c r="A71" s="531"/>
      <c r="B71" s="532"/>
      <c r="C71" s="528"/>
      <c r="D71" s="521"/>
      <c r="E71" s="180">
        <v>4</v>
      </c>
      <c r="F71" s="181"/>
      <c r="G71" s="259" t="str">
        <f>IF(ISBLANK(F71),"-",(F71/$D$50*$D$47*$B$68)*($B$57/$D$68))</f>
        <v>-</v>
      </c>
      <c r="H71" s="262" t="str">
        <f t="shared" si="0"/>
        <v>-</v>
      </c>
    </row>
    <row r="72" spans="1:8" ht="26.25" customHeight="1" x14ac:dyDescent="0.4">
      <c r="A72" s="184"/>
      <c r="B72" s="184"/>
      <c r="C72" s="184"/>
      <c r="D72" s="184"/>
      <c r="E72" s="184"/>
      <c r="F72" s="186" t="s">
        <v>71</v>
      </c>
      <c r="G72" s="248">
        <f>AVERAGE(G60:G71)</f>
        <v>788.67527744715414</v>
      </c>
      <c r="H72" s="263">
        <f>AVERAGE(H60:H71)</f>
        <v>98.584409680894268</v>
      </c>
    </row>
    <row r="73" spans="1:8" ht="26.25" customHeight="1" x14ac:dyDescent="0.4">
      <c r="C73" s="184"/>
      <c r="D73" s="184"/>
      <c r="E73" s="184"/>
      <c r="F73" s="187" t="s">
        <v>84</v>
      </c>
      <c r="G73" s="247">
        <f>STDEV(G60:G71)/G72</f>
        <v>8.7850127252848253E-3</v>
      </c>
      <c r="H73" s="247">
        <f>STDEV(H60:H71)/H72</f>
        <v>8.7850127252848253E-3</v>
      </c>
    </row>
    <row r="74" spans="1:8" ht="27" customHeight="1" x14ac:dyDescent="0.4">
      <c r="A74" s="184"/>
      <c r="B74" s="184"/>
      <c r="C74" s="185"/>
      <c r="D74" s="185"/>
      <c r="E74" s="188"/>
      <c r="F74" s="189" t="s">
        <v>20</v>
      </c>
      <c r="G74" s="190">
        <f>COUNT(G60:G71)</f>
        <v>9</v>
      </c>
      <c r="H74" s="190">
        <f>COUNT(H60:H71)</f>
        <v>9</v>
      </c>
    </row>
    <row r="76" spans="1:8" ht="26.25" customHeight="1" x14ac:dyDescent="0.4">
      <c r="A76" s="103" t="s">
        <v>106</v>
      </c>
      <c r="B76" s="191" t="s">
        <v>107</v>
      </c>
      <c r="C76" s="524" t="str">
        <f>B26</f>
        <v>SULFAMETHOXAZOLE</v>
      </c>
      <c r="D76" s="524"/>
      <c r="E76" s="192" t="s">
        <v>108</v>
      </c>
      <c r="F76" s="192"/>
      <c r="G76" s="278">
        <f>H72</f>
        <v>98.584409680894268</v>
      </c>
      <c r="H76" s="194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510" t="str">
        <f>B26</f>
        <v>SULFAMETHOXAZOLE</v>
      </c>
      <c r="C79" s="510"/>
    </row>
    <row r="80" spans="1:8" ht="26.25" customHeight="1" x14ac:dyDescent="0.4">
      <c r="A80" s="104" t="s">
        <v>48</v>
      </c>
      <c r="B80" s="510" t="str">
        <f>B27</f>
        <v>S12-6</v>
      </c>
      <c r="C80" s="510"/>
    </row>
    <row r="81" spans="1:12" ht="27" customHeight="1" x14ac:dyDescent="0.4">
      <c r="A81" s="104" t="s">
        <v>6</v>
      </c>
      <c r="B81" s="195">
        <f>B28</f>
        <v>99.02</v>
      </c>
    </row>
    <row r="82" spans="1:12" s="14" customFormat="1" ht="27" customHeight="1" x14ac:dyDescent="0.4">
      <c r="A82" s="104" t="s">
        <v>49</v>
      </c>
      <c r="B82" s="106">
        <v>0</v>
      </c>
      <c r="C82" s="501" t="s">
        <v>50</v>
      </c>
      <c r="D82" s="502"/>
      <c r="E82" s="502"/>
      <c r="F82" s="502"/>
      <c r="G82" s="503"/>
      <c r="I82" s="107"/>
      <c r="J82" s="107"/>
      <c r="K82" s="107"/>
      <c r="L82" s="107"/>
    </row>
    <row r="83" spans="1:12" s="14" customFormat="1" ht="19.5" customHeight="1" x14ac:dyDescent="0.3">
      <c r="A83" s="104" t="s">
        <v>51</v>
      </c>
      <c r="B83" s="108">
        <f>B81-B82</f>
        <v>99.02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14" customFormat="1" ht="27" customHeight="1" x14ac:dyDescent="0.4">
      <c r="A84" s="104" t="s">
        <v>52</v>
      </c>
      <c r="B84" s="111">
        <v>1</v>
      </c>
      <c r="C84" s="504" t="s">
        <v>111</v>
      </c>
      <c r="D84" s="505"/>
      <c r="E84" s="505"/>
      <c r="F84" s="505"/>
      <c r="G84" s="505"/>
      <c r="H84" s="506"/>
      <c r="I84" s="107"/>
      <c r="J84" s="107"/>
      <c r="K84" s="107"/>
      <c r="L84" s="107"/>
    </row>
    <row r="85" spans="1:12" s="14" customFormat="1" ht="27" customHeight="1" x14ac:dyDescent="0.4">
      <c r="A85" s="104" t="s">
        <v>54</v>
      </c>
      <c r="B85" s="111">
        <v>1</v>
      </c>
      <c r="C85" s="504" t="s">
        <v>112</v>
      </c>
      <c r="D85" s="505"/>
      <c r="E85" s="505"/>
      <c r="F85" s="505"/>
      <c r="G85" s="505"/>
      <c r="H85" s="506"/>
      <c r="I85" s="107"/>
      <c r="J85" s="107"/>
      <c r="K85" s="107"/>
      <c r="L85" s="107"/>
    </row>
    <row r="86" spans="1:12" s="14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14" customFormat="1" ht="18.75" x14ac:dyDescent="0.3">
      <c r="A87" s="104" t="s">
        <v>56</v>
      </c>
      <c r="B87" s="116">
        <f>B84/B85</f>
        <v>1</v>
      </c>
      <c r="C87" s="94" t="s">
        <v>57</v>
      </c>
      <c r="D87" s="94"/>
      <c r="E87" s="94"/>
      <c r="F87" s="94"/>
      <c r="G87" s="94"/>
      <c r="I87" s="107"/>
      <c r="J87" s="107"/>
      <c r="K87" s="107"/>
      <c r="L87" s="107"/>
    </row>
    <row r="88" spans="1:12" ht="19.5" customHeight="1" x14ac:dyDescent="0.3">
      <c r="A88" s="102"/>
      <c r="B88" s="102"/>
    </row>
    <row r="89" spans="1:12" ht="27" customHeight="1" x14ac:dyDescent="0.4">
      <c r="A89" s="117" t="s">
        <v>58</v>
      </c>
      <c r="B89" s="118">
        <v>100</v>
      </c>
      <c r="D89" s="196" t="s">
        <v>59</v>
      </c>
      <c r="E89" s="197"/>
      <c r="F89" s="507" t="s">
        <v>60</v>
      </c>
      <c r="G89" s="509"/>
    </row>
    <row r="90" spans="1:12" ht="27" customHeight="1" x14ac:dyDescent="0.4">
      <c r="A90" s="119" t="s">
        <v>61</v>
      </c>
      <c r="B90" s="120">
        <v>1</v>
      </c>
      <c r="C90" s="198" t="s">
        <v>62</v>
      </c>
      <c r="D90" s="122" t="s">
        <v>63</v>
      </c>
      <c r="E90" s="123" t="s">
        <v>64</v>
      </c>
      <c r="F90" s="122" t="s">
        <v>63</v>
      </c>
      <c r="G90" s="199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1</v>
      </c>
      <c r="C91" s="200">
        <v>1</v>
      </c>
      <c r="D91" s="479">
        <v>34201928</v>
      </c>
      <c r="E91" s="127">
        <f>IF(ISBLANK(D91),"-",$D$101/$D$98*D91)</f>
        <v>38258690.654743947</v>
      </c>
      <c r="F91" s="479">
        <v>36104831</v>
      </c>
      <c r="G91" s="128">
        <f>IF(ISBLANK(F91),"-",$D$101/$F$98*F91)</f>
        <v>38515518.763755418</v>
      </c>
      <c r="I91" s="129"/>
    </row>
    <row r="92" spans="1:12" ht="26.25" customHeight="1" x14ac:dyDescent="0.4">
      <c r="A92" s="119" t="s">
        <v>67</v>
      </c>
      <c r="B92" s="120">
        <v>1</v>
      </c>
      <c r="C92" s="185">
        <v>2</v>
      </c>
      <c r="D92" s="317">
        <v>34342570</v>
      </c>
      <c r="E92" s="132">
        <f>IF(ISBLANK(D92),"-",$D$101/$D$98*D92)</f>
        <v>38416014.498331495</v>
      </c>
      <c r="F92" s="317">
        <v>36255794</v>
      </c>
      <c r="G92" s="133">
        <f>IF(ISBLANK(F92),"-",$D$101/$F$98*F92)</f>
        <v>38676561.430293106</v>
      </c>
      <c r="I92" s="511">
        <f>ABS((F96/D96*D95)-F95)/D95</f>
        <v>6.5625808491388193E-3</v>
      </c>
    </row>
    <row r="93" spans="1:12" ht="26.25" customHeight="1" x14ac:dyDescent="0.4">
      <c r="A93" s="119" t="s">
        <v>68</v>
      </c>
      <c r="B93" s="120">
        <v>1</v>
      </c>
      <c r="C93" s="185">
        <v>3</v>
      </c>
      <c r="D93" s="317">
        <v>34327670</v>
      </c>
      <c r="E93" s="132">
        <f>IF(ISBLANK(D93),"-",$D$101/$D$98*D93)</f>
        <v>38399347.177975878</v>
      </c>
      <c r="F93" s="317">
        <v>36186045</v>
      </c>
      <c r="G93" s="133">
        <f>IF(ISBLANK(F93),"-",$D$101/$F$98*F93)</f>
        <v>38602155.350999922</v>
      </c>
      <c r="I93" s="511"/>
    </row>
    <row r="94" spans="1:12" ht="27" customHeight="1" x14ac:dyDescent="0.4">
      <c r="A94" s="119" t="s">
        <v>69</v>
      </c>
      <c r="B94" s="120">
        <v>1</v>
      </c>
      <c r="C94" s="201">
        <v>4</v>
      </c>
      <c r="D94" s="136"/>
      <c r="E94" s="137" t="str">
        <f>IF(ISBLANK(D94),"-",$D$101/$D$98*D94)</f>
        <v>-</v>
      </c>
      <c r="F94" s="202"/>
      <c r="G94" s="138" t="str">
        <f>IF(ISBLANK(F94),"-",$D$101/$F$98*F94)</f>
        <v>-</v>
      </c>
      <c r="I94" s="139"/>
    </row>
    <row r="95" spans="1:12" ht="27" customHeight="1" x14ac:dyDescent="0.4">
      <c r="A95" s="119" t="s">
        <v>70</v>
      </c>
      <c r="B95" s="120">
        <v>1</v>
      </c>
      <c r="C95" s="203" t="s">
        <v>71</v>
      </c>
      <c r="D95" s="204">
        <f>AVERAGE(D91:D94)</f>
        <v>34290722.666666664</v>
      </c>
      <c r="E95" s="142">
        <f>AVERAGE(E91:E94)</f>
        <v>38358017.443683773</v>
      </c>
      <c r="F95" s="205">
        <f>AVERAGE(F91:F94)</f>
        <v>36182223.333333336</v>
      </c>
      <c r="G95" s="206">
        <f>AVERAGE(G91:G94)</f>
        <v>38598078.515016146</v>
      </c>
    </row>
    <row r="96" spans="1:12" ht="26.25" customHeight="1" x14ac:dyDescent="0.4">
      <c r="A96" s="119" t="s">
        <v>72</v>
      </c>
      <c r="B96" s="105">
        <v>1</v>
      </c>
      <c r="C96" s="207" t="s">
        <v>113</v>
      </c>
      <c r="D96" s="208">
        <v>16.05</v>
      </c>
      <c r="E96" s="134"/>
      <c r="F96" s="146">
        <v>16.829999999999998</v>
      </c>
    </row>
    <row r="97" spans="1:10" ht="26.25" customHeight="1" x14ac:dyDescent="0.4">
      <c r="A97" s="119" t="s">
        <v>74</v>
      </c>
      <c r="B97" s="105">
        <v>1</v>
      </c>
      <c r="C97" s="209" t="s">
        <v>114</v>
      </c>
      <c r="D97" s="210">
        <f>D96*$B$87</f>
        <v>16.05</v>
      </c>
      <c r="E97" s="149"/>
      <c r="F97" s="148">
        <f>F96*$B$87</f>
        <v>16.829999999999998</v>
      </c>
    </row>
    <row r="98" spans="1:10" ht="19.5" customHeight="1" x14ac:dyDescent="0.3">
      <c r="A98" s="119" t="s">
        <v>76</v>
      </c>
      <c r="B98" s="211">
        <f>(B97/B96)*(B95/B94)*(B93/B92)*(B91/B90)*B89</f>
        <v>100</v>
      </c>
      <c r="C98" s="209" t="s">
        <v>115</v>
      </c>
      <c r="D98" s="212">
        <f>D97*$B$83/100</f>
        <v>15.892709999999999</v>
      </c>
      <c r="E98" s="152"/>
      <c r="F98" s="151">
        <f>F97*$B$83/100</f>
        <v>16.665065999999996</v>
      </c>
    </row>
    <row r="99" spans="1:10" ht="19.5" customHeight="1" x14ac:dyDescent="0.3">
      <c r="A99" s="512" t="s">
        <v>78</v>
      </c>
      <c r="B99" s="526"/>
      <c r="C99" s="209" t="s">
        <v>116</v>
      </c>
      <c r="D99" s="213">
        <f>D98/$B$98</f>
        <v>0.15892709999999999</v>
      </c>
      <c r="E99" s="152"/>
      <c r="F99" s="155">
        <f>F98/$B$98</f>
        <v>0.16665065999999995</v>
      </c>
      <c r="G99" s="214"/>
      <c r="H99" s="144"/>
    </row>
    <row r="100" spans="1:10" ht="19.5" customHeight="1" x14ac:dyDescent="0.3">
      <c r="A100" s="514"/>
      <c r="B100" s="527"/>
      <c r="C100" s="209" t="s">
        <v>80</v>
      </c>
      <c r="D100" s="215">
        <f>$B$56/$B$116</f>
        <v>0.17777777777777778</v>
      </c>
      <c r="F100" s="160"/>
      <c r="G100" s="216"/>
      <c r="H100" s="144"/>
    </row>
    <row r="101" spans="1:10" ht="18.75" x14ac:dyDescent="0.3">
      <c r="C101" s="209" t="s">
        <v>81</v>
      </c>
      <c r="D101" s="210">
        <f>D100*$B$98</f>
        <v>17.777777777777779</v>
      </c>
      <c r="F101" s="160"/>
      <c r="G101" s="214"/>
      <c r="H101" s="144"/>
    </row>
    <row r="102" spans="1:10" ht="19.5" customHeight="1" x14ac:dyDescent="0.3">
      <c r="C102" s="217" t="s">
        <v>82</v>
      </c>
      <c r="D102" s="218">
        <f>D101/B34</f>
        <v>17.777777777777779</v>
      </c>
      <c r="F102" s="164"/>
      <c r="G102" s="214"/>
      <c r="H102" s="144"/>
      <c r="J102" s="219"/>
    </row>
    <row r="103" spans="1:10" ht="18.75" x14ac:dyDescent="0.3">
      <c r="C103" s="220" t="s">
        <v>117</v>
      </c>
      <c r="D103" s="221">
        <f>AVERAGE(E91:E94,G91:G94)</f>
        <v>38478047.979349963</v>
      </c>
      <c r="F103" s="164"/>
      <c r="G103" s="222"/>
      <c r="H103" s="144"/>
      <c r="J103" s="223"/>
    </row>
    <row r="104" spans="1:10" ht="18.75" x14ac:dyDescent="0.3">
      <c r="C104" s="187" t="s">
        <v>84</v>
      </c>
      <c r="D104" s="224">
        <f>STDEV(E91:E94,G91:G94)/D103</f>
        <v>3.9306594676658188E-3</v>
      </c>
      <c r="F104" s="164"/>
      <c r="G104" s="214"/>
      <c r="H104" s="144"/>
      <c r="J104" s="223"/>
    </row>
    <row r="105" spans="1:10" ht="19.5" customHeight="1" x14ac:dyDescent="0.3">
      <c r="C105" s="189" t="s">
        <v>20</v>
      </c>
      <c r="D105" s="225">
        <f>COUNT(E91:E94,G91:G94)</f>
        <v>6</v>
      </c>
      <c r="F105" s="164"/>
      <c r="G105" s="214"/>
      <c r="H105" s="144"/>
      <c r="J105" s="223"/>
    </row>
    <row r="106" spans="1:10" ht="19.5" customHeight="1" x14ac:dyDescent="0.3">
      <c r="A106" s="168"/>
      <c r="B106" s="168"/>
      <c r="C106" s="168"/>
      <c r="D106" s="168"/>
      <c r="E106" s="168"/>
    </row>
    <row r="107" spans="1:10" ht="27" customHeight="1" x14ac:dyDescent="0.4">
      <c r="A107" s="117" t="s">
        <v>118</v>
      </c>
      <c r="B107" s="118">
        <v>900</v>
      </c>
      <c r="C107" s="264" t="s">
        <v>119</v>
      </c>
      <c r="D107" s="264" t="s">
        <v>63</v>
      </c>
      <c r="E107" s="264" t="s">
        <v>120</v>
      </c>
      <c r="F107" s="226" t="s">
        <v>121</v>
      </c>
    </row>
    <row r="108" spans="1:10" ht="26.25" customHeight="1" x14ac:dyDescent="0.4">
      <c r="A108" s="119" t="s">
        <v>122</v>
      </c>
      <c r="B108" s="120">
        <v>10</v>
      </c>
      <c r="C108" s="269">
        <v>1</v>
      </c>
      <c r="D108" s="472">
        <v>37211228</v>
      </c>
      <c r="E108" s="244">
        <f t="shared" ref="E108:E113" si="1">IF(ISBLANK(D108),"-",D108/$D$103*$D$100*$B$116)</f>
        <v>773.66145018521047</v>
      </c>
      <c r="F108" s="270">
        <f t="shared" ref="F108:F113" si="2">IF(ISBLANK(D108), "-", (E108/$B$56)*100)</f>
        <v>96.707681273151309</v>
      </c>
    </row>
    <row r="109" spans="1:10" ht="26.25" customHeight="1" x14ac:dyDescent="0.4">
      <c r="A109" s="119" t="s">
        <v>95</v>
      </c>
      <c r="B109" s="120">
        <v>50</v>
      </c>
      <c r="C109" s="265">
        <v>2</v>
      </c>
      <c r="D109" s="473">
        <v>36929242</v>
      </c>
      <c r="E109" s="245">
        <f t="shared" si="1"/>
        <v>767.79865797389391</v>
      </c>
      <c r="F109" s="271">
        <f t="shared" si="2"/>
        <v>95.974832246736739</v>
      </c>
    </row>
    <row r="110" spans="1:10" ht="26.25" customHeight="1" x14ac:dyDescent="0.4">
      <c r="A110" s="119" t="s">
        <v>96</v>
      </c>
      <c r="B110" s="120">
        <v>1</v>
      </c>
      <c r="C110" s="265">
        <v>3</v>
      </c>
      <c r="D110" s="473">
        <v>37688104</v>
      </c>
      <c r="E110" s="245">
        <f t="shared" si="1"/>
        <v>783.57621509752471</v>
      </c>
      <c r="F110" s="271">
        <f t="shared" si="2"/>
        <v>97.947026887190589</v>
      </c>
    </row>
    <row r="111" spans="1:10" ht="26.25" customHeight="1" x14ac:dyDescent="0.4">
      <c r="A111" s="119" t="s">
        <v>97</v>
      </c>
      <c r="B111" s="120">
        <v>1</v>
      </c>
      <c r="C111" s="265">
        <v>4</v>
      </c>
      <c r="D111" s="267">
        <v>36987251</v>
      </c>
      <c r="E111" s="245">
        <f t="shared" si="1"/>
        <v>769.00472747162166</v>
      </c>
      <c r="F111" s="271">
        <f t="shared" si="2"/>
        <v>96.125590933952708</v>
      </c>
    </row>
    <row r="112" spans="1:10" ht="26.25" customHeight="1" x14ac:dyDescent="0.4">
      <c r="A112" s="119" t="s">
        <v>98</v>
      </c>
      <c r="B112" s="120">
        <v>1</v>
      </c>
      <c r="C112" s="265">
        <v>5</v>
      </c>
      <c r="D112" s="267">
        <v>37303749</v>
      </c>
      <c r="E112" s="245">
        <f t="shared" si="1"/>
        <v>775.58506128002819</v>
      </c>
      <c r="F112" s="271">
        <f t="shared" si="2"/>
        <v>96.948132660003523</v>
      </c>
    </row>
    <row r="113" spans="1:10" ht="27" customHeight="1" x14ac:dyDescent="0.4">
      <c r="A113" s="119" t="s">
        <v>100</v>
      </c>
      <c r="B113" s="120">
        <v>1</v>
      </c>
      <c r="C113" s="266">
        <v>6</v>
      </c>
      <c r="D113" s="268">
        <v>37713966</v>
      </c>
      <c r="E113" s="246">
        <f t="shared" si="1"/>
        <v>784.11391389168136</v>
      </c>
      <c r="F113" s="272">
        <f t="shared" si="2"/>
        <v>98.01423923646017</v>
      </c>
    </row>
    <row r="114" spans="1:10" ht="27" customHeight="1" x14ac:dyDescent="0.4">
      <c r="A114" s="119" t="s">
        <v>101</v>
      </c>
      <c r="B114" s="120">
        <v>1</v>
      </c>
      <c r="C114" s="227"/>
      <c r="D114" s="185"/>
      <c r="E114" s="93"/>
      <c r="F114" s="273"/>
    </row>
    <row r="115" spans="1:10" ht="26.25" customHeight="1" x14ac:dyDescent="0.4">
      <c r="A115" s="119" t="s">
        <v>102</v>
      </c>
      <c r="B115" s="120">
        <v>1</v>
      </c>
      <c r="C115" s="227"/>
      <c r="D115" s="251" t="s">
        <v>71</v>
      </c>
      <c r="E115" s="253">
        <f>AVERAGE(E108:E113)</f>
        <v>775.62333764999346</v>
      </c>
      <c r="F115" s="274">
        <f>AVERAGE(F108:F113)</f>
        <v>96.952917206249182</v>
      </c>
    </row>
    <row r="116" spans="1:10" ht="27" customHeight="1" x14ac:dyDescent="0.4">
      <c r="A116" s="119" t="s">
        <v>103</v>
      </c>
      <c r="B116" s="150">
        <f>(B115/B114)*(B113/B112)*(B111/B110)*(B109/B108)*B107</f>
        <v>4500</v>
      </c>
      <c r="C116" s="228"/>
      <c r="D116" s="252" t="s">
        <v>84</v>
      </c>
      <c r="E116" s="250">
        <f>STDEV(E108:E113)/E115</f>
        <v>9.0106255676256439E-3</v>
      </c>
      <c r="F116" s="229">
        <f>STDEV(F108:F113)/F115</f>
        <v>9.0106255676256439E-3</v>
      </c>
      <c r="I116" s="93"/>
    </row>
    <row r="117" spans="1:10" ht="27" customHeight="1" x14ac:dyDescent="0.4">
      <c r="A117" s="512" t="s">
        <v>78</v>
      </c>
      <c r="B117" s="513"/>
      <c r="C117" s="230"/>
      <c r="D117" s="189" t="s">
        <v>20</v>
      </c>
      <c r="E117" s="255">
        <f>COUNT(E108:E113)</f>
        <v>6</v>
      </c>
      <c r="F117" s="256">
        <f>COUNT(F108:F113)</f>
        <v>6</v>
      </c>
      <c r="I117" s="93"/>
      <c r="J117" s="223"/>
    </row>
    <row r="118" spans="1:10" ht="26.25" customHeight="1" x14ac:dyDescent="0.3">
      <c r="A118" s="514"/>
      <c r="B118" s="515"/>
      <c r="C118" s="93"/>
      <c r="D118" s="254"/>
      <c r="E118" s="490" t="s">
        <v>123</v>
      </c>
      <c r="F118" s="491"/>
      <c r="G118" s="93"/>
      <c r="H118" s="93"/>
      <c r="I118" s="93"/>
    </row>
    <row r="119" spans="1:10" ht="25.5" customHeight="1" x14ac:dyDescent="0.4">
      <c r="A119" s="239"/>
      <c r="B119" s="115"/>
      <c r="C119" s="93"/>
      <c r="D119" s="252" t="s">
        <v>124</v>
      </c>
      <c r="E119" s="257">
        <f>MIN(E108:E113)</f>
        <v>767.79865797389391</v>
      </c>
      <c r="F119" s="275">
        <f>MIN(F108:F113)</f>
        <v>95.974832246736739</v>
      </c>
      <c r="G119" s="93"/>
      <c r="H119" s="93"/>
      <c r="I119" s="93"/>
    </row>
    <row r="120" spans="1:10" ht="24" customHeight="1" x14ac:dyDescent="0.4">
      <c r="A120" s="239"/>
      <c r="B120" s="115"/>
      <c r="C120" s="93"/>
      <c r="D120" s="161" t="s">
        <v>125</v>
      </c>
      <c r="E120" s="258">
        <f>MAX(E108:E113)</f>
        <v>784.11391389168136</v>
      </c>
      <c r="F120" s="276">
        <f>MAX(F108:F113)</f>
        <v>98.01423923646017</v>
      </c>
      <c r="G120" s="93"/>
      <c r="H120" s="93"/>
      <c r="I120" s="93"/>
    </row>
    <row r="121" spans="1:10" ht="27" customHeight="1" x14ac:dyDescent="0.3">
      <c r="A121" s="239"/>
      <c r="B121" s="115"/>
      <c r="C121" s="93"/>
      <c r="D121" s="93"/>
      <c r="E121" s="93"/>
      <c r="F121" s="185"/>
      <c r="G121" s="93"/>
      <c r="H121" s="93"/>
      <c r="I121" s="93"/>
    </row>
    <row r="122" spans="1:10" ht="25.5" customHeight="1" x14ac:dyDescent="0.3">
      <c r="A122" s="239"/>
      <c r="B122" s="115"/>
      <c r="C122" s="93"/>
      <c r="D122" s="93"/>
      <c r="E122" s="93"/>
      <c r="F122" s="185"/>
      <c r="G122" s="93"/>
      <c r="H122" s="93"/>
      <c r="I122" s="93"/>
    </row>
    <row r="123" spans="1:10" ht="18.75" x14ac:dyDescent="0.3">
      <c r="A123" s="239"/>
      <c r="B123" s="115"/>
      <c r="C123" s="93"/>
      <c r="D123" s="93"/>
      <c r="E123" s="93"/>
      <c r="F123" s="185"/>
      <c r="G123" s="93"/>
      <c r="H123" s="93"/>
      <c r="I123" s="93"/>
    </row>
    <row r="124" spans="1:10" ht="45.75" customHeight="1" x14ac:dyDescent="0.65">
      <c r="A124" s="103" t="s">
        <v>106</v>
      </c>
      <c r="B124" s="191" t="s">
        <v>126</v>
      </c>
      <c r="C124" s="524" t="str">
        <f>B26</f>
        <v>SULFAMETHOXAZOLE</v>
      </c>
      <c r="D124" s="524"/>
      <c r="E124" s="192" t="s">
        <v>127</v>
      </c>
      <c r="F124" s="192"/>
      <c r="G124" s="277">
        <f>F115</f>
        <v>96.952917206249182</v>
      </c>
      <c r="H124" s="93"/>
      <c r="I124" s="93"/>
    </row>
    <row r="125" spans="1:10" ht="45.75" customHeight="1" x14ac:dyDescent="0.65">
      <c r="A125" s="103"/>
      <c r="B125" s="191" t="s">
        <v>128</v>
      </c>
      <c r="C125" s="104" t="s">
        <v>129</v>
      </c>
      <c r="D125" s="277">
        <f>MIN(F108:F113)</f>
        <v>95.974832246736739</v>
      </c>
      <c r="E125" s="203" t="s">
        <v>130</v>
      </c>
      <c r="F125" s="277">
        <f>MAX(F108:F113)</f>
        <v>98.01423923646017</v>
      </c>
      <c r="G125" s="193"/>
      <c r="H125" s="93"/>
      <c r="I125" s="93"/>
    </row>
    <row r="126" spans="1:10" ht="19.5" customHeight="1" x14ac:dyDescent="0.3">
      <c r="A126" s="231"/>
      <c r="B126" s="231"/>
      <c r="C126" s="232"/>
      <c r="D126" s="232"/>
      <c r="E126" s="232"/>
      <c r="F126" s="232"/>
      <c r="G126" s="232"/>
      <c r="H126" s="232"/>
    </row>
    <row r="127" spans="1:10" ht="18.75" x14ac:dyDescent="0.3">
      <c r="B127" s="525" t="s">
        <v>26</v>
      </c>
      <c r="C127" s="525"/>
      <c r="E127" s="198" t="s">
        <v>27</v>
      </c>
      <c r="F127" s="233"/>
      <c r="G127" s="525" t="s">
        <v>28</v>
      </c>
      <c r="H127" s="525"/>
    </row>
    <row r="128" spans="1:10" ht="69.95" customHeight="1" x14ac:dyDescent="0.3">
      <c r="A128" s="234" t="s">
        <v>29</v>
      </c>
      <c r="B128" s="235"/>
      <c r="C128" s="235"/>
      <c r="E128" s="235"/>
      <c r="F128" s="93"/>
      <c r="G128" s="236"/>
      <c r="H128" s="236"/>
    </row>
    <row r="129" spans="1:9" ht="69.95" customHeight="1" x14ac:dyDescent="0.3">
      <c r="A129" s="234" t="s">
        <v>30</v>
      </c>
      <c r="B129" s="237"/>
      <c r="C129" s="237"/>
      <c r="E129" s="237"/>
      <c r="F129" s="93"/>
      <c r="G129" s="238"/>
      <c r="H129" s="238"/>
    </row>
    <row r="130" spans="1:9" ht="18.75" x14ac:dyDescent="0.3">
      <c r="A130" s="184"/>
      <c r="B130" s="184"/>
      <c r="C130" s="185"/>
      <c r="D130" s="185"/>
      <c r="E130" s="185"/>
      <c r="F130" s="188"/>
      <c r="G130" s="185"/>
      <c r="H130" s="185"/>
      <c r="I130" s="93"/>
    </row>
    <row r="131" spans="1:9" ht="18.75" x14ac:dyDescent="0.3">
      <c r="A131" s="184"/>
      <c r="B131" s="184"/>
      <c r="C131" s="185"/>
      <c r="D131" s="185"/>
      <c r="E131" s="185"/>
      <c r="F131" s="188"/>
      <c r="G131" s="185"/>
      <c r="H131" s="185"/>
      <c r="I131" s="93"/>
    </row>
    <row r="132" spans="1:9" ht="18.75" x14ac:dyDescent="0.3">
      <c r="A132" s="184"/>
      <c r="B132" s="184"/>
      <c r="C132" s="185"/>
      <c r="D132" s="185"/>
      <c r="E132" s="185"/>
      <c r="F132" s="188"/>
      <c r="G132" s="185"/>
      <c r="H132" s="185"/>
      <c r="I132" s="93"/>
    </row>
    <row r="133" spans="1:9" ht="18.75" x14ac:dyDescent="0.3">
      <c r="A133" s="184"/>
      <c r="B133" s="184"/>
      <c r="C133" s="185"/>
      <c r="D133" s="185"/>
      <c r="E133" s="185"/>
      <c r="F133" s="188"/>
      <c r="G133" s="185"/>
      <c r="H133" s="185"/>
      <c r="I133" s="93"/>
    </row>
    <row r="134" spans="1:9" ht="18.75" x14ac:dyDescent="0.3">
      <c r="A134" s="184"/>
      <c r="B134" s="184"/>
      <c r="C134" s="185"/>
      <c r="D134" s="185"/>
      <c r="E134" s="185"/>
      <c r="F134" s="188"/>
      <c r="G134" s="185"/>
      <c r="H134" s="185"/>
      <c r="I134" s="93"/>
    </row>
    <row r="135" spans="1:9" ht="18.75" x14ac:dyDescent="0.3">
      <c r="A135" s="184"/>
      <c r="B135" s="184"/>
      <c r="C135" s="185"/>
      <c r="D135" s="185"/>
      <c r="E135" s="185"/>
      <c r="F135" s="188"/>
      <c r="G135" s="185"/>
      <c r="H135" s="185"/>
      <c r="I135" s="93"/>
    </row>
    <row r="136" spans="1:9" ht="18.75" x14ac:dyDescent="0.3">
      <c r="A136" s="184"/>
      <c r="B136" s="184"/>
      <c r="C136" s="185"/>
      <c r="D136" s="185"/>
      <c r="E136" s="185"/>
      <c r="F136" s="188"/>
      <c r="G136" s="185"/>
      <c r="H136" s="185"/>
      <c r="I136" s="93"/>
    </row>
    <row r="137" spans="1:9" ht="18.75" x14ac:dyDescent="0.3">
      <c r="A137" s="184"/>
      <c r="B137" s="184"/>
      <c r="C137" s="185"/>
      <c r="D137" s="185"/>
      <c r="E137" s="185"/>
      <c r="F137" s="188"/>
      <c r="G137" s="185"/>
      <c r="H137" s="185"/>
      <c r="I137" s="93"/>
    </row>
    <row r="138" spans="1:9" ht="18.75" x14ac:dyDescent="0.3">
      <c r="A138" s="184"/>
      <c r="B138" s="184"/>
      <c r="C138" s="185"/>
      <c r="D138" s="185"/>
      <c r="E138" s="185"/>
      <c r="F138" s="188"/>
      <c r="G138" s="185"/>
      <c r="H138" s="185"/>
      <c r="I138" s="93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21" zoomScale="48" zoomScaleNormal="40" zoomScalePageLayoutView="48" workbookViewId="0">
      <selection activeCell="B153" sqref="B15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2" t="s">
        <v>45</v>
      </c>
      <c r="B1" s="522"/>
      <c r="C1" s="522"/>
      <c r="D1" s="522"/>
      <c r="E1" s="522"/>
      <c r="F1" s="522"/>
      <c r="G1" s="522"/>
      <c r="H1" s="522"/>
      <c r="I1" s="522"/>
    </row>
    <row r="2" spans="1:9" ht="18.75" customHeight="1" x14ac:dyDescent="0.25">
      <c r="A2" s="522"/>
      <c r="B2" s="522"/>
      <c r="C2" s="522"/>
      <c r="D2" s="522"/>
      <c r="E2" s="522"/>
      <c r="F2" s="522"/>
      <c r="G2" s="522"/>
      <c r="H2" s="522"/>
      <c r="I2" s="522"/>
    </row>
    <row r="3" spans="1:9" ht="18.75" customHeight="1" x14ac:dyDescent="0.25">
      <c r="A3" s="522"/>
      <c r="B3" s="522"/>
      <c r="C3" s="522"/>
      <c r="D3" s="522"/>
      <c r="E3" s="522"/>
      <c r="F3" s="522"/>
      <c r="G3" s="522"/>
      <c r="H3" s="522"/>
      <c r="I3" s="522"/>
    </row>
    <row r="4" spans="1:9" ht="18.75" customHeight="1" x14ac:dyDescent="0.25">
      <c r="A4" s="522"/>
      <c r="B4" s="522"/>
      <c r="C4" s="522"/>
      <c r="D4" s="522"/>
      <c r="E4" s="522"/>
      <c r="F4" s="522"/>
      <c r="G4" s="522"/>
      <c r="H4" s="522"/>
      <c r="I4" s="522"/>
    </row>
    <row r="5" spans="1:9" ht="18.75" customHeight="1" x14ac:dyDescent="0.25">
      <c r="A5" s="522"/>
      <c r="B5" s="522"/>
      <c r="C5" s="522"/>
      <c r="D5" s="522"/>
      <c r="E5" s="522"/>
      <c r="F5" s="522"/>
      <c r="G5" s="522"/>
      <c r="H5" s="522"/>
      <c r="I5" s="522"/>
    </row>
    <row r="6" spans="1:9" ht="18.75" customHeight="1" x14ac:dyDescent="0.25">
      <c r="A6" s="522"/>
      <c r="B6" s="522"/>
      <c r="C6" s="522"/>
      <c r="D6" s="522"/>
      <c r="E6" s="522"/>
      <c r="F6" s="522"/>
      <c r="G6" s="522"/>
      <c r="H6" s="522"/>
      <c r="I6" s="522"/>
    </row>
    <row r="7" spans="1:9" ht="18.75" customHeight="1" x14ac:dyDescent="0.25">
      <c r="A7" s="522"/>
      <c r="B7" s="522"/>
      <c r="C7" s="522"/>
      <c r="D7" s="522"/>
      <c r="E7" s="522"/>
      <c r="F7" s="522"/>
      <c r="G7" s="522"/>
      <c r="H7" s="522"/>
      <c r="I7" s="522"/>
    </row>
    <row r="8" spans="1:9" x14ac:dyDescent="0.25">
      <c r="A8" s="523" t="s">
        <v>46</v>
      </c>
      <c r="B8" s="523"/>
      <c r="C8" s="523"/>
      <c r="D8" s="523"/>
      <c r="E8" s="523"/>
      <c r="F8" s="523"/>
      <c r="G8" s="523"/>
      <c r="H8" s="523"/>
      <c r="I8" s="523"/>
    </row>
    <row r="9" spans="1:9" x14ac:dyDescent="0.25">
      <c r="A9" s="523"/>
      <c r="B9" s="523"/>
      <c r="C9" s="523"/>
      <c r="D9" s="523"/>
      <c r="E9" s="523"/>
      <c r="F9" s="523"/>
      <c r="G9" s="523"/>
      <c r="H9" s="523"/>
      <c r="I9" s="523"/>
    </row>
    <row r="10" spans="1:9" x14ac:dyDescent="0.25">
      <c r="A10" s="523"/>
      <c r="B10" s="523"/>
      <c r="C10" s="523"/>
      <c r="D10" s="523"/>
      <c r="E10" s="523"/>
      <c r="F10" s="523"/>
      <c r="G10" s="523"/>
      <c r="H10" s="523"/>
      <c r="I10" s="523"/>
    </row>
    <row r="11" spans="1:9" x14ac:dyDescent="0.25">
      <c r="A11" s="523"/>
      <c r="B11" s="523"/>
      <c r="C11" s="523"/>
      <c r="D11" s="523"/>
      <c r="E11" s="523"/>
      <c r="F11" s="523"/>
      <c r="G11" s="523"/>
      <c r="H11" s="523"/>
      <c r="I11" s="523"/>
    </row>
    <row r="12" spans="1:9" x14ac:dyDescent="0.25">
      <c r="A12" s="523"/>
      <c r="B12" s="523"/>
      <c r="C12" s="523"/>
      <c r="D12" s="523"/>
      <c r="E12" s="523"/>
      <c r="F12" s="523"/>
      <c r="G12" s="523"/>
      <c r="H12" s="523"/>
      <c r="I12" s="523"/>
    </row>
    <row r="13" spans="1:9" x14ac:dyDescent="0.25">
      <c r="A13" s="523"/>
      <c r="B13" s="523"/>
      <c r="C13" s="523"/>
      <c r="D13" s="523"/>
      <c r="E13" s="523"/>
      <c r="F13" s="523"/>
      <c r="G13" s="523"/>
      <c r="H13" s="523"/>
      <c r="I13" s="523"/>
    </row>
    <row r="14" spans="1:9" x14ac:dyDescent="0.25">
      <c r="A14" s="523"/>
      <c r="B14" s="523"/>
      <c r="C14" s="523"/>
      <c r="D14" s="523"/>
      <c r="E14" s="523"/>
      <c r="F14" s="523"/>
      <c r="G14" s="523"/>
      <c r="H14" s="523"/>
      <c r="I14" s="523"/>
    </row>
    <row r="15" spans="1:9" ht="19.5" customHeight="1" x14ac:dyDescent="0.3">
      <c r="A15" s="279"/>
    </row>
    <row r="16" spans="1:9" ht="19.5" customHeight="1" x14ac:dyDescent="0.3">
      <c r="A16" s="494" t="s">
        <v>31</v>
      </c>
      <c r="B16" s="495"/>
      <c r="C16" s="495"/>
      <c r="D16" s="495"/>
      <c r="E16" s="495"/>
      <c r="F16" s="495"/>
      <c r="G16" s="495"/>
      <c r="H16" s="496"/>
    </row>
    <row r="17" spans="1:14" ht="20.25" customHeight="1" x14ac:dyDescent="0.25">
      <c r="A17" s="497" t="s">
        <v>47</v>
      </c>
      <c r="B17" s="497"/>
      <c r="C17" s="497"/>
      <c r="D17" s="497"/>
      <c r="E17" s="497"/>
      <c r="F17" s="497"/>
      <c r="G17" s="497"/>
      <c r="H17" s="497"/>
    </row>
    <row r="18" spans="1:14" ht="26.25" customHeight="1" x14ac:dyDescent="0.4">
      <c r="A18" s="281" t="s">
        <v>33</v>
      </c>
      <c r="B18" s="493" t="s">
        <v>5</v>
      </c>
      <c r="C18" s="493"/>
      <c r="D18" s="426"/>
      <c r="E18" s="282"/>
      <c r="F18" s="283"/>
      <c r="G18" s="283"/>
      <c r="H18" s="283"/>
    </row>
    <row r="19" spans="1:14" ht="26.25" customHeight="1" x14ac:dyDescent="0.4">
      <c r="A19" s="281" t="s">
        <v>34</v>
      </c>
      <c r="B19" s="284" t="s">
        <v>7</v>
      </c>
      <c r="C19" s="435">
        <v>1</v>
      </c>
      <c r="D19" s="283"/>
      <c r="E19" s="283"/>
      <c r="F19" s="283"/>
      <c r="G19" s="283"/>
      <c r="H19" s="283"/>
    </row>
    <row r="20" spans="1:14" ht="26.25" customHeight="1" x14ac:dyDescent="0.4">
      <c r="A20" s="281" t="s">
        <v>35</v>
      </c>
      <c r="B20" s="498" t="s">
        <v>9</v>
      </c>
      <c r="C20" s="498"/>
      <c r="D20" s="283"/>
      <c r="E20" s="283"/>
      <c r="F20" s="283"/>
      <c r="G20" s="283"/>
      <c r="H20" s="283"/>
    </row>
    <row r="21" spans="1:14" ht="26.25" customHeight="1" x14ac:dyDescent="0.4">
      <c r="A21" s="281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285"/>
    </row>
    <row r="22" spans="1:14" ht="26.25" customHeight="1" x14ac:dyDescent="0.4">
      <c r="A22" s="281" t="s">
        <v>37</v>
      </c>
      <c r="B22" s="286" t="s">
        <v>12</v>
      </c>
      <c r="C22" s="283"/>
      <c r="D22" s="283"/>
      <c r="E22" s="283"/>
      <c r="F22" s="283"/>
      <c r="G22" s="283"/>
      <c r="H22" s="283"/>
    </row>
    <row r="23" spans="1:14" ht="26.25" customHeight="1" x14ac:dyDescent="0.4">
      <c r="A23" s="281" t="s">
        <v>38</v>
      </c>
      <c r="B23" s="286">
        <v>43047</v>
      </c>
      <c r="C23" s="283"/>
      <c r="D23" s="283"/>
      <c r="E23" s="283"/>
      <c r="F23" s="283"/>
      <c r="G23" s="283"/>
      <c r="H23" s="283"/>
    </row>
    <row r="24" spans="1:14" ht="18.75" x14ac:dyDescent="0.3">
      <c r="A24" s="281"/>
      <c r="B24" s="287"/>
    </row>
    <row r="25" spans="1:14" ht="18.75" x14ac:dyDescent="0.3">
      <c r="A25" s="288" t="s">
        <v>1</v>
      </c>
      <c r="B25" s="287"/>
    </row>
    <row r="26" spans="1:14" ht="26.25" customHeight="1" x14ac:dyDescent="0.4">
      <c r="A26" s="289" t="s">
        <v>4</v>
      </c>
      <c r="B26" s="492" t="s">
        <v>131</v>
      </c>
      <c r="C26" s="493"/>
    </row>
    <row r="27" spans="1:14" ht="26.25" customHeight="1" x14ac:dyDescent="0.4">
      <c r="A27" s="290" t="s">
        <v>48</v>
      </c>
      <c r="B27" s="499" t="s">
        <v>138</v>
      </c>
      <c r="C27" s="500"/>
    </row>
    <row r="28" spans="1:14" ht="27" customHeight="1" x14ac:dyDescent="0.4">
      <c r="A28" s="290" t="s">
        <v>6</v>
      </c>
      <c r="B28" s="291">
        <v>99.7</v>
      </c>
    </row>
    <row r="29" spans="1:14" s="14" customFormat="1" ht="27" customHeight="1" x14ac:dyDescent="0.4">
      <c r="A29" s="290" t="s">
        <v>49</v>
      </c>
      <c r="B29" s="292">
        <v>0</v>
      </c>
      <c r="C29" s="501" t="s">
        <v>50</v>
      </c>
      <c r="D29" s="502"/>
      <c r="E29" s="502"/>
      <c r="F29" s="502"/>
      <c r="G29" s="503"/>
      <c r="I29" s="293"/>
      <c r="J29" s="293"/>
      <c r="K29" s="293"/>
      <c r="L29" s="293"/>
    </row>
    <row r="30" spans="1:14" s="14" customFormat="1" ht="19.5" customHeight="1" x14ac:dyDescent="0.3">
      <c r="A30" s="290" t="s">
        <v>51</v>
      </c>
      <c r="B30" s="294">
        <f>B28-B29</f>
        <v>99.7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4" customFormat="1" ht="27" customHeight="1" x14ac:dyDescent="0.4">
      <c r="A31" s="290" t="s">
        <v>52</v>
      </c>
      <c r="B31" s="297">
        <v>1</v>
      </c>
      <c r="C31" s="504" t="s">
        <v>53</v>
      </c>
      <c r="D31" s="505"/>
      <c r="E31" s="505"/>
      <c r="F31" s="505"/>
      <c r="G31" s="505"/>
      <c r="H31" s="506"/>
      <c r="I31" s="293"/>
      <c r="J31" s="293"/>
      <c r="K31" s="293"/>
      <c r="L31" s="293"/>
    </row>
    <row r="32" spans="1:14" s="14" customFormat="1" ht="27" customHeight="1" x14ac:dyDescent="0.4">
      <c r="A32" s="290" t="s">
        <v>54</v>
      </c>
      <c r="B32" s="297">
        <v>1</v>
      </c>
      <c r="C32" s="504" t="s">
        <v>55</v>
      </c>
      <c r="D32" s="505"/>
      <c r="E32" s="505"/>
      <c r="F32" s="505"/>
      <c r="G32" s="505"/>
      <c r="H32" s="506"/>
      <c r="I32" s="293"/>
      <c r="J32" s="293"/>
      <c r="K32" s="293"/>
      <c r="L32" s="298"/>
      <c r="M32" s="298"/>
      <c r="N32" s="299"/>
    </row>
    <row r="33" spans="1:14" s="14" customFormat="1" ht="17.25" customHeight="1" x14ac:dyDescent="0.3">
      <c r="A33" s="290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4" customFormat="1" ht="18.75" x14ac:dyDescent="0.3">
      <c r="A34" s="290" t="s">
        <v>56</v>
      </c>
      <c r="B34" s="302">
        <f>B31/B32</f>
        <v>1</v>
      </c>
      <c r="C34" s="280" t="s">
        <v>57</v>
      </c>
      <c r="D34" s="280"/>
      <c r="E34" s="280"/>
      <c r="F34" s="280"/>
      <c r="G34" s="280"/>
      <c r="I34" s="293"/>
      <c r="J34" s="293"/>
      <c r="K34" s="293"/>
      <c r="L34" s="298"/>
      <c r="M34" s="298"/>
      <c r="N34" s="299"/>
    </row>
    <row r="35" spans="1:14" s="14" customFormat="1" ht="19.5" customHeight="1" x14ac:dyDescent="0.3">
      <c r="A35" s="290"/>
      <c r="B35" s="294"/>
      <c r="G35" s="280"/>
      <c r="I35" s="293"/>
      <c r="J35" s="293"/>
      <c r="K35" s="293"/>
      <c r="L35" s="298"/>
      <c r="M35" s="298"/>
      <c r="N35" s="299"/>
    </row>
    <row r="36" spans="1:14" s="14" customFormat="1" ht="27" customHeight="1" x14ac:dyDescent="0.4">
      <c r="A36" s="303" t="s">
        <v>58</v>
      </c>
      <c r="B36" s="304">
        <v>25</v>
      </c>
      <c r="C36" s="280"/>
      <c r="D36" s="507" t="s">
        <v>59</v>
      </c>
      <c r="E36" s="508"/>
      <c r="F36" s="507" t="s">
        <v>60</v>
      </c>
      <c r="G36" s="509"/>
      <c r="J36" s="293"/>
      <c r="K36" s="293"/>
      <c r="L36" s="298"/>
      <c r="M36" s="298"/>
      <c r="N36" s="299"/>
    </row>
    <row r="37" spans="1:14" s="14" customFormat="1" ht="27" customHeight="1" x14ac:dyDescent="0.4">
      <c r="A37" s="305" t="s">
        <v>61</v>
      </c>
      <c r="B37" s="306">
        <v>4</v>
      </c>
      <c r="C37" s="307" t="s">
        <v>62</v>
      </c>
      <c r="D37" s="308" t="s">
        <v>63</v>
      </c>
      <c r="E37" s="309" t="s">
        <v>64</v>
      </c>
      <c r="F37" s="308" t="s">
        <v>63</v>
      </c>
      <c r="G37" s="310" t="s">
        <v>64</v>
      </c>
      <c r="I37" s="311" t="s">
        <v>65</v>
      </c>
      <c r="J37" s="293"/>
      <c r="K37" s="293"/>
      <c r="L37" s="298"/>
      <c r="M37" s="298"/>
      <c r="N37" s="299"/>
    </row>
    <row r="38" spans="1:14" s="14" customFormat="1" ht="26.25" customHeight="1" x14ac:dyDescent="0.4">
      <c r="A38" s="305" t="s">
        <v>66</v>
      </c>
      <c r="B38" s="306">
        <v>100</v>
      </c>
      <c r="C38" s="312">
        <v>1</v>
      </c>
      <c r="D38" s="479">
        <v>3112026</v>
      </c>
      <c r="E38" s="313">
        <f>IF(ISBLANK(D38),"-",$D$48/$D$45*D38)</f>
        <v>2921282.3308484182</v>
      </c>
      <c r="F38" s="479">
        <v>2970566</v>
      </c>
      <c r="G38" s="314">
        <f>IF(ISBLANK(F38),"-",$D$48/$F$45*F38)</f>
        <v>2961734.1088872976</v>
      </c>
      <c r="I38" s="315"/>
      <c r="J38" s="293"/>
      <c r="K38" s="293"/>
      <c r="L38" s="298"/>
      <c r="M38" s="298"/>
      <c r="N38" s="299"/>
    </row>
    <row r="39" spans="1:14" s="14" customFormat="1" ht="26.25" customHeight="1" x14ac:dyDescent="0.4">
      <c r="A39" s="305" t="s">
        <v>67</v>
      </c>
      <c r="B39" s="306">
        <v>1</v>
      </c>
      <c r="C39" s="316">
        <v>2</v>
      </c>
      <c r="D39" s="317">
        <v>3120824</v>
      </c>
      <c r="E39" s="318">
        <f>IF(ISBLANK(D39),"-",$D$48/$D$45*D39)</f>
        <v>2929541.0799548859</v>
      </c>
      <c r="F39" s="317">
        <v>2980874</v>
      </c>
      <c r="G39" s="319">
        <f>IF(ISBLANK(F39),"-",$D$48/$F$45*F39)</f>
        <v>2972011.4618208497</v>
      </c>
      <c r="I39" s="511">
        <f>ABS((F43/D43*D42)-F42)/D42</f>
        <v>1.2971009498455956E-2</v>
      </c>
      <c r="J39" s="293"/>
      <c r="K39" s="293"/>
      <c r="L39" s="298"/>
      <c r="M39" s="298"/>
      <c r="N39" s="299"/>
    </row>
    <row r="40" spans="1:14" ht="26.25" customHeight="1" x14ac:dyDescent="0.4">
      <c r="A40" s="305" t="s">
        <v>68</v>
      </c>
      <c r="B40" s="306">
        <v>1</v>
      </c>
      <c r="C40" s="316">
        <v>3</v>
      </c>
      <c r="D40" s="317">
        <v>3117400</v>
      </c>
      <c r="E40" s="318">
        <f>IF(ISBLANK(D40),"-",$D$48/$D$45*D40)</f>
        <v>2926326.9452719414</v>
      </c>
      <c r="F40" s="317">
        <v>2973166</v>
      </c>
      <c r="G40" s="319">
        <f>IF(ISBLANK(F40),"-",$D$48/$F$45*F40)</f>
        <v>2964326.3787386012</v>
      </c>
      <c r="I40" s="511"/>
      <c r="L40" s="298"/>
      <c r="M40" s="298"/>
      <c r="N40" s="320"/>
    </row>
    <row r="41" spans="1:14" ht="27" customHeight="1" x14ac:dyDescent="0.4">
      <c r="A41" s="305" t="s">
        <v>69</v>
      </c>
      <c r="B41" s="306">
        <v>1</v>
      </c>
      <c r="C41" s="321">
        <v>4</v>
      </c>
      <c r="D41" s="322"/>
      <c r="E41" s="323" t="str">
        <f>IF(ISBLANK(D41),"-",$D$48/$D$45*D41)</f>
        <v>-</v>
      </c>
      <c r="F41" s="322"/>
      <c r="G41" s="324" t="str">
        <f>IF(ISBLANK(F41),"-",$D$48/$F$45*F41)</f>
        <v>-</v>
      </c>
      <c r="I41" s="325"/>
      <c r="L41" s="298"/>
      <c r="M41" s="298"/>
      <c r="N41" s="320"/>
    </row>
    <row r="42" spans="1:14" ht="27" customHeight="1" x14ac:dyDescent="0.4">
      <c r="A42" s="305" t="s">
        <v>70</v>
      </c>
      <c r="B42" s="306">
        <v>1</v>
      </c>
      <c r="C42" s="326" t="s">
        <v>71</v>
      </c>
      <c r="D42" s="327">
        <f>AVERAGE(D38:D41)</f>
        <v>3116750</v>
      </c>
      <c r="E42" s="328">
        <f>AVERAGE(E38:E41)</f>
        <v>2925716.7853584155</v>
      </c>
      <c r="F42" s="327">
        <f>AVERAGE(F38:F41)</f>
        <v>2974868.6666666665</v>
      </c>
      <c r="G42" s="329">
        <f>AVERAGE(G38:G41)</f>
        <v>2966023.9831489162</v>
      </c>
      <c r="H42" s="330"/>
    </row>
    <row r="43" spans="1:14" ht="26.25" customHeight="1" x14ac:dyDescent="0.4">
      <c r="A43" s="305" t="s">
        <v>72</v>
      </c>
      <c r="B43" s="306">
        <v>1</v>
      </c>
      <c r="C43" s="331" t="s">
        <v>73</v>
      </c>
      <c r="D43" s="332">
        <v>21.37</v>
      </c>
      <c r="E43" s="320"/>
      <c r="F43" s="332">
        <v>20.12</v>
      </c>
      <c r="H43" s="330"/>
    </row>
    <row r="44" spans="1:14" ht="26.25" customHeight="1" x14ac:dyDescent="0.4">
      <c r="A44" s="305" t="s">
        <v>74</v>
      </c>
      <c r="B44" s="306">
        <v>1</v>
      </c>
      <c r="C44" s="333" t="s">
        <v>75</v>
      </c>
      <c r="D44" s="334">
        <f>D43*$B$34</f>
        <v>21.37</v>
      </c>
      <c r="E44" s="335"/>
      <c r="F44" s="334">
        <f>F43*$B$34</f>
        <v>20.12</v>
      </c>
      <c r="H44" s="330"/>
    </row>
    <row r="45" spans="1:14" ht="19.5" customHeight="1" x14ac:dyDescent="0.3">
      <c r="A45" s="305" t="s">
        <v>76</v>
      </c>
      <c r="B45" s="336">
        <f>(B44/B43)*(B42/B41)*(B40/B39)*(B38/B37)*B36</f>
        <v>625</v>
      </c>
      <c r="C45" s="333" t="s">
        <v>77</v>
      </c>
      <c r="D45" s="337">
        <f>D44*$B$30/100</f>
        <v>21.305889999999998</v>
      </c>
      <c r="E45" s="338"/>
      <c r="F45" s="337">
        <f>F44*$B$30/100</f>
        <v>20.059640000000002</v>
      </c>
      <c r="H45" s="330"/>
    </row>
    <row r="46" spans="1:14" ht="19.5" customHeight="1" x14ac:dyDescent="0.3">
      <c r="A46" s="512" t="s">
        <v>78</v>
      </c>
      <c r="B46" s="513"/>
      <c r="C46" s="333" t="s">
        <v>79</v>
      </c>
      <c r="D46" s="339">
        <f>D45/$B$45</f>
        <v>3.4089424E-2</v>
      </c>
      <c r="E46" s="340"/>
      <c r="F46" s="341">
        <f>F45/$B$45</f>
        <v>3.2095424000000004E-2</v>
      </c>
      <c r="H46" s="330"/>
    </row>
    <row r="47" spans="1:14" ht="27" customHeight="1" x14ac:dyDescent="0.4">
      <c r="A47" s="514"/>
      <c r="B47" s="515"/>
      <c r="C47" s="342" t="s">
        <v>80</v>
      </c>
      <c r="D47" s="343">
        <v>3.2000000000000001E-2</v>
      </c>
      <c r="E47" s="344"/>
      <c r="F47" s="340"/>
      <c r="H47" s="330"/>
    </row>
    <row r="48" spans="1:14" ht="18.75" x14ac:dyDescent="0.3">
      <c r="C48" s="345" t="s">
        <v>81</v>
      </c>
      <c r="D48" s="337">
        <f>D47*$B$45</f>
        <v>20</v>
      </c>
      <c r="F48" s="346"/>
      <c r="H48" s="330"/>
    </row>
    <row r="49" spans="1:12" ht="19.5" customHeight="1" x14ac:dyDescent="0.3">
      <c r="C49" s="347" t="s">
        <v>82</v>
      </c>
      <c r="D49" s="348">
        <f>D48/B34</f>
        <v>20</v>
      </c>
      <c r="F49" s="346"/>
      <c r="H49" s="330"/>
    </row>
    <row r="50" spans="1:12" ht="18.75" x14ac:dyDescent="0.3">
      <c r="C50" s="303" t="s">
        <v>83</v>
      </c>
      <c r="D50" s="349">
        <f>AVERAGE(E38:E41,G38:G41)</f>
        <v>2945870.3842536658</v>
      </c>
      <c r="F50" s="350"/>
      <c r="H50" s="330"/>
    </row>
    <row r="51" spans="1:12" ht="18.75" x14ac:dyDescent="0.3">
      <c r="C51" s="305" t="s">
        <v>84</v>
      </c>
      <c r="D51" s="351">
        <f>STDEV(E38:E41,G38:G41)/D50</f>
        <v>7.6341163613808903E-3</v>
      </c>
      <c r="F51" s="350"/>
      <c r="H51" s="330"/>
    </row>
    <row r="52" spans="1:12" ht="19.5" customHeight="1" x14ac:dyDescent="0.3">
      <c r="C52" s="352" t="s">
        <v>20</v>
      </c>
      <c r="D52" s="353">
        <f>COUNT(E38:E41,G38:G41)</f>
        <v>6</v>
      </c>
      <c r="F52" s="350"/>
    </row>
    <row r="54" spans="1:12" ht="18.75" x14ac:dyDescent="0.3">
      <c r="A54" s="354" t="s">
        <v>1</v>
      </c>
      <c r="B54" s="355" t="s">
        <v>85</v>
      </c>
    </row>
    <row r="55" spans="1:12" ht="18.75" x14ac:dyDescent="0.3">
      <c r="A55" s="280" t="s">
        <v>86</v>
      </c>
      <c r="B55" s="356" t="str">
        <f>B21</f>
        <v>Each tablet contains: Sulfamethoxazole BP 800 mg and Trimethoprim BP 160 mg.</v>
      </c>
    </row>
    <row r="56" spans="1:12" ht="26.25" customHeight="1" x14ac:dyDescent="0.4">
      <c r="A56" s="357" t="s">
        <v>87</v>
      </c>
      <c r="B56" s="358">
        <v>160</v>
      </c>
      <c r="C56" s="280" t="str">
        <f>B20</f>
        <v>Sulfamethoxazole &amp; Trimethoprim</v>
      </c>
      <c r="H56" s="359"/>
    </row>
    <row r="57" spans="1:12" ht="18.75" x14ac:dyDescent="0.3">
      <c r="A57" s="356" t="s">
        <v>88</v>
      </c>
      <c r="B57" s="427">
        <f>Uniformity!C46</f>
        <v>1081.4875</v>
      </c>
      <c r="H57" s="359"/>
    </row>
    <row r="58" spans="1:12" ht="19.5" customHeight="1" x14ac:dyDescent="0.3">
      <c r="H58" s="359"/>
    </row>
    <row r="59" spans="1:12" s="14" customFormat="1" ht="27" customHeight="1" x14ac:dyDescent="0.4">
      <c r="A59" s="303" t="s">
        <v>89</v>
      </c>
      <c r="B59" s="304">
        <v>100</v>
      </c>
      <c r="C59" s="280"/>
      <c r="D59" s="360" t="s">
        <v>90</v>
      </c>
      <c r="E59" s="361" t="s">
        <v>62</v>
      </c>
      <c r="F59" s="361" t="s">
        <v>63</v>
      </c>
      <c r="G59" s="361" t="s">
        <v>91</v>
      </c>
      <c r="H59" s="307" t="s">
        <v>92</v>
      </c>
      <c r="L59" s="293"/>
    </row>
    <row r="60" spans="1:12" s="14" customFormat="1" ht="26.25" customHeight="1" x14ac:dyDescent="0.4">
      <c r="A60" s="305" t="s">
        <v>93</v>
      </c>
      <c r="B60" s="306">
        <v>2</v>
      </c>
      <c r="C60" s="516" t="s">
        <v>94</v>
      </c>
      <c r="D60" s="519">
        <v>1089.02</v>
      </c>
      <c r="E60" s="362">
        <v>1</v>
      </c>
      <c r="F60" s="363">
        <v>2898711</v>
      </c>
      <c r="G60" s="428">
        <f>IF(ISBLANK(F60),"-",(F60/$D$50*$D$47*$B$68)*($B$57/$D$60))</f>
        <v>156.34965070599736</v>
      </c>
      <c r="H60" s="446">
        <f t="shared" ref="H60:H71" si="0">IF(ISBLANK(F60),"-",(G60/$B$56)*100)</f>
        <v>97.718531691248359</v>
      </c>
      <c r="L60" s="293"/>
    </row>
    <row r="61" spans="1:12" s="14" customFormat="1" ht="26.25" customHeight="1" x14ac:dyDescent="0.4">
      <c r="A61" s="305" t="s">
        <v>95</v>
      </c>
      <c r="B61" s="306">
        <v>100</v>
      </c>
      <c r="C61" s="517"/>
      <c r="D61" s="520"/>
      <c r="E61" s="364">
        <v>2</v>
      </c>
      <c r="F61" s="317">
        <v>2938630</v>
      </c>
      <c r="G61" s="429">
        <f>IF(ISBLANK(F61),"-",(F61/$D$50*$D$47*$B$68)*($B$57/$D$60))</f>
        <v>158.50278763704455</v>
      </c>
      <c r="H61" s="447">
        <f t="shared" si="0"/>
        <v>99.064242273152843</v>
      </c>
      <c r="L61" s="293"/>
    </row>
    <row r="62" spans="1:12" s="14" customFormat="1" ht="26.25" customHeight="1" x14ac:dyDescent="0.4">
      <c r="A62" s="305" t="s">
        <v>96</v>
      </c>
      <c r="B62" s="306">
        <v>1</v>
      </c>
      <c r="C62" s="517"/>
      <c r="D62" s="520"/>
      <c r="E62" s="364">
        <v>3</v>
      </c>
      <c r="F62" s="365">
        <v>2890971</v>
      </c>
      <c r="G62" s="429">
        <f>IF(ISBLANK(F62),"-",(F62/$D$50*$D$47*$B$68)*($B$57/$D$60))</f>
        <v>155.93217331812929</v>
      </c>
      <c r="H62" s="447">
        <f t="shared" si="0"/>
        <v>97.457608323830797</v>
      </c>
      <c r="L62" s="293"/>
    </row>
    <row r="63" spans="1:12" ht="27" customHeight="1" x14ac:dyDescent="0.4">
      <c r="A63" s="305" t="s">
        <v>97</v>
      </c>
      <c r="B63" s="306">
        <v>1</v>
      </c>
      <c r="C63" s="518"/>
      <c r="D63" s="521"/>
      <c r="E63" s="366">
        <v>4</v>
      </c>
      <c r="F63" s="367"/>
      <c r="G63" s="429" t="str">
        <f>IF(ISBLANK(F63),"-",(F63/$D$50*$D$47*$B$68)*($B$57/$D$60))</f>
        <v>-</v>
      </c>
      <c r="H63" s="447" t="str">
        <f t="shared" si="0"/>
        <v>-</v>
      </c>
    </row>
    <row r="64" spans="1:12" ht="26.25" customHeight="1" x14ac:dyDescent="0.4">
      <c r="A64" s="305" t="s">
        <v>98</v>
      </c>
      <c r="B64" s="306">
        <v>1</v>
      </c>
      <c r="C64" s="516" t="s">
        <v>99</v>
      </c>
      <c r="D64" s="519">
        <v>1073.57</v>
      </c>
      <c r="E64" s="362">
        <v>1</v>
      </c>
      <c r="F64" s="363">
        <v>2908664</v>
      </c>
      <c r="G64" s="428">
        <f>IF(ISBLANK(F64),"-",(F64/$D$50*$D$47*$B$68)*($B$57/$D$64))</f>
        <v>159.14428275197724</v>
      </c>
      <c r="H64" s="446">
        <f t="shared" si="0"/>
        <v>99.465176719985777</v>
      </c>
    </row>
    <row r="65" spans="1:8" ht="26.25" customHeight="1" x14ac:dyDescent="0.4">
      <c r="A65" s="305" t="s">
        <v>100</v>
      </c>
      <c r="B65" s="306">
        <v>1</v>
      </c>
      <c r="C65" s="517"/>
      <c r="D65" s="520"/>
      <c r="E65" s="364">
        <v>2</v>
      </c>
      <c r="F65" s="317">
        <v>2871639</v>
      </c>
      <c r="G65" s="429">
        <f>IF(ISBLANK(F65),"-",(F65/$D$50*$D$47*$B$68)*($B$57/$D$64))</f>
        <v>157.11850147614339</v>
      </c>
      <c r="H65" s="447">
        <f t="shared" si="0"/>
        <v>98.199063422589617</v>
      </c>
    </row>
    <row r="66" spans="1:8" ht="26.25" customHeight="1" x14ac:dyDescent="0.4">
      <c r="A66" s="305" t="s">
        <v>101</v>
      </c>
      <c r="B66" s="306">
        <v>1</v>
      </c>
      <c r="C66" s="517"/>
      <c r="D66" s="520"/>
      <c r="E66" s="364">
        <v>3</v>
      </c>
      <c r="F66" s="317">
        <v>2858073</v>
      </c>
      <c r="G66" s="429">
        <f>IF(ISBLANK(F66),"-",(F66/$D$50*$D$47*$B$68)*($B$57/$D$64))</f>
        <v>156.37625302812279</v>
      </c>
      <c r="H66" s="447">
        <f t="shared" si="0"/>
        <v>97.735158142576736</v>
      </c>
    </row>
    <row r="67" spans="1:8" ht="27" customHeight="1" x14ac:dyDescent="0.4">
      <c r="A67" s="305" t="s">
        <v>102</v>
      </c>
      <c r="B67" s="306">
        <v>1</v>
      </c>
      <c r="C67" s="518"/>
      <c r="D67" s="521"/>
      <c r="E67" s="366">
        <v>4</v>
      </c>
      <c r="F67" s="367"/>
      <c r="G67" s="445" t="str">
        <f>IF(ISBLANK(F67),"-",(F67/$D$50*$D$47*$B$68)*($B$57/$D$64))</f>
        <v>-</v>
      </c>
      <c r="H67" s="448" t="str">
        <f t="shared" si="0"/>
        <v>-</v>
      </c>
    </row>
    <row r="68" spans="1:8" ht="26.25" customHeight="1" x14ac:dyDescent="0.4">
      <c r="A68" s="305" t="s">
        <v>103</v>
      </c>
      <c r="B68" s="368">
        <f>(B67/B66)*(B65/B64)*(B63/B62)*(B61/B60)*B59</f>
        <v>5000</v>
      </c>
      <c r="C68" s="516" t="s">
        <v>104</v>
      </c>
      <c r="D68" s="519">
        <v>1083.8900000000001</v>
      </c>
      <c r="E68" s="362">
        <v>1</v>
      </c>
      <c r="F68" s="363">
        <v>2846262</v>
      </c>
      <c r="G68" s="428">
        <f>IF(ISBLANK(F68),"-",(F68/$D$50*$D$47*$B$68)*($B$57/$D$68))</f>
        <v>154.24728113697114</v>
      </c>
      <c r="H68" s="447">
        <f t="shared" si="0"/>
        <v>96.404550710606969</v>
      </c>
    </row>
    <row r="69" spans="1:8" ht="27" customHeight="1" x14ac:dyDescent="0.4">
      <c r="A69" s="352" t="s">
        <v>105</v>
      </c>
      <c r="B69" s="369">
        <f>(D47*B68)/B56*B57</f>
        <v>1081.4875</v>
      </c>
      <c r="C69" s="517"/>
      <c r="D69" s="520"/>
      <c r="E69" s="364">
        <v>2</v>
      </c>
      <c r="F69" s="317">
        <v>2851925</v>
      </c>
      <c r="G69" s="429">
        <f>IF(ISBLANK(F69),"-",(F69/$D$50*$D$47*$B$68)*($B$57/$D$68))</f>
        <v>154.55417570714025</v>
      </c>
      <c r="H69" s="447">
        <f t="shared" si="0"/>
        <v>96.596359816962647</v>
      </c>
    </row>
    <row r="70" spans="1:8" ht="26.25" customHeight="1" x14ac:dyDescent="0.4">
      <c r="A70" s="529" t="s">
        <v>78</v>
      </c>
      <c r="B70" s="530"/>
      <c r="C70" s="517"/>
      <c r="D70" s="520"/>
      <c r="E70" s="364">
        <v>3</v>
      </c>
      <c r="F70" s="317">
        <v>2858772</v>
      </c>
      <c r="G70" s="429">
        <f>IF(ISBLANK(F70),"-",(F70/$D$50*$D$47*$B$68)*($B$57/$D$68))</f>
        <v>154.92523470801399</v>
      </c>
      <c r="H70" s="447">
        <f t="shared" si="0"/>
        <v>96.828271692508736</v>
      </c>
    </row>
    <row r="71" spans="1:8" ht="27" customHeight="1" x14ac:dyDescent="0.4">
      <c r="A71" s="531"/>
      <c r="B71" s="532"/>
      <c r="C71" s="528"/>
      <c r="D71" s="521"/>
      <c r="E71" s="366">
        <v>4</v>
      </c>
      <c r="F71" s="367"/>
      <c r="G71" s="445" t="str">
        <f>IF(ISBLANK(F71),"-",(F71/$D$50*$D$47*$B$68)*($B$57/$D$68))</f>
        <v>-</v>
      </c>
      <c r="H71" s="448" t="str">
        <f t="shared" si="0"/>
        <v>-</v>
      </c>
    </row>
    <row r="72" spans="1:8" ht="26.25" customHeight="1" x14ac:dyDescent="0.4">
      <c r="A72" s="370"/>
      <c r="B72" s="370"/>
      <c r="C72" s="370"/>
      <c r="D72" s="370"/>
      <c r="E72" s="370"/>
      <c r="F72" s="372" t="s">
        <v>71</v>
      </c>
      <c r="G72" s="434">
        <f>AVERAGE(G60:G71)</f>
        <v>156.35003782994889</v>
      </c>
      <c r="H72" s="449">
        <f>AVERAGE(H60:H71)</f>
        <v>97.718773643718052</v>
      </c>
    </row>
    <row r="73" spans="1:8" ht="26.25" customHeight="1" x14ac:dyDescent="0.4">
      <c r="C73" s="370"/>
      <c r="D73" s="370"/>
      <c r="E73" s="370"/>
      <c r="F73" s="373" t="s">
        <v>84</v>
      </c>
      <c r="G73" s="433">
        <f>STDEV(G60:G71)/G72</f>
        <v>1.0817577614307475E-2</v>
      </c>
      <c r="H73" s="433">
        <f>STDEV(H60:H71)/H72</f>
        <v>1.0817577614307482E-2</v>
      </c>
    </row>
    <row r="74" spans="1:8" ht="27" customHeight="1" x14ac:dyDescent="0.4">
      <c r="A74" s="370"/>
      <c r="B74" s="370"/>
      <c r="C74" s="371"/>
      <c r="D74" s="371"/>
      <c r="E74" s="374"/>
      <c r="F74" s="375" t="s">
        <v>20</v>
      </c>
      <c r="G74" s="376">
        <f>COUNT(G60:G71)</f>
        <v>9</v>
      </c>
      <c r="H74" s="376">
        <f>COUNT(H60:H71)</f>
        <v>9</v>
      </c>
    </row>
    <row r="76" spans="1:8" ht="26.25" customHeight="1" x14ac:dyDescent="0.4">
      <c r="A76" s="289" t="s">
        <v>106</v>
      </c>
      <c r="B76" s="377" t="s">
        <v>107</v>
      </c>
      <c r="C76" s="524" t="str">
        <f>B26</f>
        <v>TRIMETHOPRIM</v>
      </c>
      <c r="D76" s="524"/>
      <c r="E76" s="378" t="s">
        <v>108</v>
      </c>
      <c r="F76" s="378"/>
      <c r="G76" s="465">
        <f>H72</f>
        <v>97.718773643718052</v>
      </c>
      <c r="H76" s="380"/>
    </row>
    <row r="77" spans="1:8" ht="18.75" x14ac:dyDescent="0.3">
      <c r="A77" s="288" t="s">
        <v>109</v>
      </c>
      <c r="B77" s="288" t="s">
        <v>110</v>
      </c>
    </row>
    <row r="78" spans="1:8" ht="18.75" x14ac:dyDescent="0.3">
      <c r="A78" s="288"/>
      <c r="B78" s="288"/>
    </row>
    <row r="79" spans="1:8" ht="26.25" customHeight="1" x14ac:dyDescent="0.4">
      <c r="A79" s="289" t="s">
        <v>4</v>
      </c>
      <c r="B79" s="510" t="str">
        <f>B26</f>
        <v>TRIMETHOPRIM</v>
      </c>
      <c r="C79" s="510"/>
    </row>
    <row r="80" spans="1:8" ht="26.25" customHeight="1" x14ac:dyDescent="0.4">
      <c r="A80" s="290" t="s">
        <v>48</v>
      </c>
      <c r="B80" s="510" t="str">
        <f>B27</f>
        <v>T7-5</v>
      </c>
      <c r="C80" s="510"/>
    </row>
    <row r="81" spans="1:12" ht="27" customHeight="1" x14ac:dyDescent="0.4">
      <c r="A81" s="290" t="s">
        <v>6</v>
      </c>
      <c r="B81" s="381">
        <f>B28</f>
        <v>99.7</v>
      </c>
    </row>
    <row r="82" spans="1:12" s="14" customFormat="1" ht="27" customHeight="1" x14ac:dyDescent="0.4">
      <c r="A82" s="290" t="s">
        <v>49</v>
      </c>
      <c r="B82" s="292">
        <v>0</v>
      </c>
      <c r="C82" s="501" t="s">
        <v>50</v>
      </c>
      <c r="D82" s="502"/>
      <c r="E82" s="502"/>
      <c r="F82" s="502"/>
      <c r="G82" s="503"/>
      <c r="I82" s="293"/>
      <c r="J82" s="293"/>
      <c r="K82" s="293"/>
      <c r="L82" s="293"/>
    </row>
    <row r="83" spans="1:12" s="14" customFormat="1" ht="19.5" customHeight="1" x14ac:dyDescent="0.3">
      <c r="A83" s="290" t="s">
        <v>51</v>
      </c>
      <c r="B83" s="294">
        <f>B81-B82</f>
        <v>99.7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4" customFormat="1" ht="27" customHeight="1" x14ac:dyDescent="0.4">
      <c r="A84" s="290" t="s">
        <v>52</v>
      </c>
      <c r="B84" s="297">
        <v>1</v>
      </c>
      <c r="C84" s="504" t="s">
        <v>111</v>
      </c>
      <c r="D84" s="505"/>
      <c r="E84" s="505"/>
      <c r="F84" s="505"/>
      <c r="G84" s="505"/>
      <c r="H84" s="506"/>
      <c r="I84" s="293"/>
      <c r="J84" s="293"/>
      <c r="K84" s="293"/>
      <c r="L84" s="293"/>
    </row>
    <row r="85" spans="1:12" s="14" customFormat="1" ht="27" customHeight="1" x14ac:dyDescent="0.4">
      <c r="A85" s="290" t="s">
        <v>54</v>
      </c>
      <c r="B85" s="297">
        <v>1</v>
      </c>
      <c r="C85" s="504" t="s">
        <v>112</v>
      </c>
      <c r="D85" s="505"/>
      <c r="E85" s="505"/>
      <c r="F85" s="505"/>
      <c r="G85" s="505"/>
      <c r="H85" s="506"/>
      <c r="I85" s="293"/>
      <c r="J85" s="293"/>
      <c r="K85" s="293"/>
      <c r="L85" s="293"/>
    </row>
    <row r="86" spans="1:12" s="14" customFormat="1" ht="18.75" x14ac:dyDescent="0.3">
      <c r="A86" s="290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4" customFormat="1" ht="18.75" x14ac:dyDescent="0.3">
      <c r="A87" s="290" t="s">
        <v>56</v>
      </c>
      <c r="B87" s="302">
        <f>B84/B85</f>
        <v>1</v>
      </c>
      <c r="C87" s="280" t="s">
        <v>57</v>
      </c>
      <c r="D87" s="280"/>
      <c r="E87" s="280"/>
      <c r="F87" s="280"/>
      <c r="G87" s="280"/>
      <c r="I87" s="293"/>
      <c r="J87" s="293"/>
      <c r="K87" s="293"/>
      <c r="L87" s="293"/>
    </row>
    <row r="88" spans="1:12" ht="19.5" customHeight="1" x14ac:dyDescent="0.3">
      <c r="A88" s="288"/>
      <c r="B88" s="288"/>
    </row>
    <row r="89" spans="1:12" ht="27" customHeight="1" x14ac:dyDescent="0.4">
      <c r="A89" s="303" t="s">
        <v>58</v>
      </c>
      <c r="B89" s="304">
        <v>25</v>
      </c>
      <c r="D89" s="382" t="s">
        <v>59</v>
      </c>
      <c r="E89" s="383"/>
      <c r="F89" s="507" t="s">
        <v>60</v>
      </c>
      <c r="G89" s="509"/>
    </row>
    <row r="90" spans="1:12" ht="27" customHeight="1" x14ac:dyDescent="0.4">
      <c r="A90" s="305" t="s">
        <v>61</v>
      </c>
      <c r="B90" s="306">
        <v>4</v>
      </c>
      <c r="C90" s="384" t="s">
        <v>62</v>
      </c>
      <c r="D90" s="308" t="s">
        <v>63</v>
      </c>
      <c r="E90" s="309" t="s">
        <v>64</v>
      </c>
      <c r="F90" s="308" t="s">
        <v>63</v>
      </c>
      <c r="G90" s="385" t="s">
        <v>64</v>
      </c>
      <c r="I90" s="311" t="s">
        <v>65</v>
      </c>
    </row>
    <row r="91" spans="1:12" ht="26.25" customHeight="1" x14ac:dyDescent="0.4">
      <c r="A91" s="305" t="s">
        <v>66</v>
      </c>
      <c r="B91" s="306">
        <v>100</v>
      </c>
      <c r="C91" s="386">
        <v>1</v>
      </c>
      <c r="D91" s="479">
        <v>3112026</v>
      </c>
      <c r="E91" s="313">
        <f>IF(ISBLANK(D91),"-",$D$101/$D$98*D91)</f>
        <v>3245869.2564982423</v>
      </c>
      <c r="F91" s="479">
        <v>2970566</v>
      </c>
      <c r="G91" s="314">
        <f>IF(ISBLANK(F91),"-",$D$101/$F$98*F91)</f>
        <v>3290815.6765414421</v>
      </c>
      <c r="I91" s="315"/>
    </row>
    <row r="92" spans="1:12" ht="26.25" customHeight="1" x14ac:dyDescent="0.4">
      <c r="A92" s="305" t="s">
        <v>67</v>
      </c>
      <c r="B92" s="306">
        <v>1</v>
      </c>
      <c r="C92" s="371">
        <v>2</v>
      </c>
      <c r="D92" s="317">
        <v>3120824</v>
      </c>
      <c r="E92" s="318">
        <f>IF(ISBLANK(D92),"-",$D$101/$D$98*D92)</f>
        <v>3255045.6443943176</v>
      </c>
      <c r="F92" s="317">
        <v>2980874</v>
      </c>
      <c r="G92" s="319">
        <f>IF(ISBLANK(F92),"-",$D$101/$F$98*F92)</f>
        <v>3302234.9575787224</v>
      </c>
      <c r="I92" s="511">
        <f>ABS((F96/D96*D95)-F95)/D95</f>
        <v>1.2971009498455956E-2</v>
      </c>
    </row>
    <row r="93" spans="1:12" ht="26.25" customHeight="1" x14ac:dyDescent="0.4">
      <c r="A93" s="305" t="s">
        <v>68</v>
      </c>
      <c r="B93" s="306">
        <v>1</v>
      </c>
      <c r="C93" s="371">
        <v>3</v>
      </c>
      <c r="D93" s="317">
        <v>3117400</v>
      </c>
      <c r="E93" s="318">
        <f>IF(ISBLANK(D93),"-",$D$101/$D$98*D93)</f>
        <v>3251474.3836354907</v>
      </c>
      <c r="F93" s="317">
        <v>2973166</v>
      </c>
      <c r="G93" s="319">
        <f>IF(ISBLANK(F93),"-",$D$101/$F$98*F93)</f>
        <v>3293695.9763762238</v>
      </c>
      <c r="I93" s="511"/>
    </row>
    <row r="94" spans="1:12" ht="27" customHeight="1" x14ac:dyDescent="0.4">
      <c r="A94" s="305" t="s">
        <v>69</v>
      </c>
      <c r="B94" s="306">
        <v>1</v>
      </c>
      <c r="C94" s="387">
        <v>4</v>
      </c>
      <c r="D94" s="322"/>
      <c r="E94" s="323" t="str">
        <f>IF(ISBLANK(D94),"-",$D$101/$D$98*D94)</f>
        <v>-</v>
      </c>
      <c r="F94" s="388"/>
      <c r="G94" s="324" t="str">
        <f>IF(ISBLANK(F94),"-",$D$101/$F$98*F94)</f>
        <v>-</v>
      </c>
      <c r="I94" s="325"/>
    </row>
    <row r="95" spans="1:12" ht="27" customHeight="1" x14ac:dyDescent="0.4">
      <c r="A95" s="305" t="s">
        <v>70</v>
      </c>
      <c r="B95" s="306">
        <v>1</v>
      </c>
      <c r="C95" s="389" t="s">
        <v>71</v>
      </c>
      <c r="D95" s="390">
        <f>AVERAGE(D91:D94)</f>
        <v>3116750</v>
      </c>
      <c r="E95" s="328">
        <f>AVERAGE(E91:E94)</f>
        <v>3250796.428176017</v>
      </c>
      <c r="F95" s="391">
        <f>AVERAGE(F91:F94)</f>
        <v>2974868.6666666665</v>
      </c>
      <c r="G95" s="392">
        <f>AVERAGE(G91:G94)</f>
        <v>3295582.2034987961</v>
      </c>
    </row>
    <row r="96" spans="1:12" ht="26.25" customHeight="1" x14ac:dyDescent="0.4">
      <c r="A96" s="305" t="s">
        <v>72</v>
      </c>
      <c r="B96" s="291">
        <v>1</v>
      </c>
      <c r="C96" s="393" t="s">
        <v>113</v>
      </c>
      <c r="D96" s="394">
        <v>21.37</v>
      </c>
      <c r="E96" s="320"/>
      <c r="F96" s="332">
        <v>20.12</v>
      </c>
    </row>
    <row r="97" spans="1:10" ht="26.25" customHeight="1" x14ac:dyDescent="0.4">
      <c r="A97" s="305" t="s">
        <v>74</v>
      </c>
      <c r="B97" s="291">
        <v>1</v>
      </c>
      <c r="C97" s="395" t="s">
        <v>114</v>
      </c>
      <c r="D97" s="396">
        <f>D96*$B$87</f>
        <v>21.37</v>
      </c>
      <c r="E97" s="335"/>
      <c r="F97" s="334">
        <f>F96*$B$87</f>
        <v>20.12</v>
      </c>
    </row>
    <row r="98" spans="1:10" ht="19.5" customHeight="1" x14ac:dyDescent="0.3">
      <c r="A98" s="305" t="s">
        <v>76</v>
      </c>
      <c r="B98" s="397">
        <f>(B97/B96)*(B95/B94)*(B93/B92)*(B91/B90)*B89</f>
        <v>625</v>
      </c>
      <c r="C98" s="395" t="s">
        <v>115</v>
      </c>
      <c r="D98" s="398">
        <f>D97*$B$83/100</f>
        <v>21.305889999999998</v>
      </c>
      <c r="E98" s="338"/>
      <c r="F98" s="337">
        <f>F97*$B$83/100</f>
        <v>20.059640000000002</v>
      </c>
    </row>
    <row r="99" spans="1:10" ht="19.5" customHeight="1" x14ac:dyDescent="0.3">
      <c r="A99" s="512" t="s">
        <v>78</v>
      </c>
      <c r="B99" s="526"/>
      <c r="C99" s="395" t="s">
        <v>116</v>
      </c>
      <c r="D99" s="399">
        <f>D98/$B$98</f>
        <v>3.4089424E-2</v>
      </c>
      <c r="E99" s="338"/>
      <c r="F99" s="341">
        <f>F98/$B$98</f>
        <v>3.2095424000000004E-2</v>
      </c>
      <c r="G99" s="400"/>
      <c r="H99" s="330"/>
    </row>
    <row r="100" spans="1:10" ht="19.5" customHeight="1" x14ac:dyDescent="0.3">
      <c r="A100" s="514"/>
      <c r="B100" s="527"/>
      <c r="C100" s="395" t="s">
        <v>80</v>
      </c>
      <c r="D100" s="401">
        <f>$B$56/$B$116</f>
        <v>3.5555555555555556E-2</v>
      </c>
      <c r="F100" s="346"/>
      <c r="G100" s="402"/>
      <c r="H100" s="330"/>
    </row>
    <row r="101" spans="1:10" ht="18.75" x14ac:dyDescent="0.3">
      <c r="C101" s="395" t="s">
        <v>81</v>
      </c>
      <c r="D101" s="396">
        <f>D100*$B$98</f>
        <v>22.222222222222221</v>
      </c>
      <c r="F101" s="346"/>
      <c r="G101" s="400"/>
      <c r="H101" s="330"/>
    </row>
    <row r="102" spans="1:10" ht="19.5" customHeight="1" x14ac:dyDescent="0.3">
      <c r="C102" s="403" t="s">
        <v>82</v>
      </c>
      <c r="D102" s="404">
        <f>D101/B34</f>
        <v>22.222222222222221</v>
      </c>
      <c r="F102" s="350"/>
      <c r="G102" s="400"/>
      <c r="H102" s="330"/>
      <c r="J102" s="405"/>
    </row>
    <row r="103" spans="1:10" ht="18.75" x14ac:dyDescent="0.3">
      <c r="C103" s="406" t="s">
        <v>117</v>
      </c>
      <c r="D103" s="407">
        <f>AVERAGE(E91:E94,G91:G94)</f>
        <v>3273189.3158374061</v>
      </c>
      <c r="F103" s="350"/>
      <c r="G103" s="408"/>
      <c r="H103" s="330"/>
      <c r="J103" s="409"/>
    </row>
    <row r="104" spans="1:10" ht="18.75" x14ac:dyDescent="0.3">
      <c r="C104" s="373" t="s">
        <v>84</v>
      </c>
      <c r="D104" s="410">
        <f>STDEV(E91:E94,G91:G94)/D103</f>
        <v>7.6341163613809519E-3</v>
      </c>
      <c r="F104" s="350"/>
      <c r="G104" s="400"/>
      <c r="H104" s="330"/>
      <c r="J104" s="409"/>
    </row>
    <row r="105" spans="1:10" ht="19.5" customHeight="1" x14ac:dyDescent="0.3">
      <c r="C105" s="375" t="s">
        <v>20</v>
      </c>
      <c r="D105" s="411">
        <f>COUNT(E91:E94,G91:G94)</f>
        <v>6</v>
      </c>
      <c r="F105" s="350"/>
      <c r="G105" s="400"/>
      <c r="H105" s="330"/>
      <c r="J105" s="409"/>
    </row>
    <row r="106" spans="1:10" ht="19.5" customHeight="1" x14ac:dyDescent="0.3">
      <c r="A106" s="354"/>
      <c r="B106" s="354"/>
      <c r="C106" s="354"/>
      <c r="D106" s="354"/>
      <c r="E106" s="354"/>
    </row>
    <row r="107" spans="1:10" ht="27" customHeight="1" x14ac:dyDescent="0.4">
      <c r="A107" s="303" t="s">
        <v>118</v>
      </c>
      <c r="B107" s="304">
        <v>900</v>
      </c>
      <c r="C107" s="450" t="s">
        <v>119</v>
      </c>
      <c r="D107" s="450" t="s">
        <v>63</v>
      </c>
      <c r="E107" s="450" t="s">
        <v>120</v>
      </c>
      <c r="F107" s="412" t="s">
        <v>121</v>
      </c>
    </row>
    <row r="108" spans="1:10" ht="26.25" customHeight="1" x14ac:dyDescent="0.4">
      <c r="A108" s="305" t="s">
        <v>122</v>
      </c>
      <c r="B108" s="306">
        <v>10</v>
      </c>
      <c r="C108" s="455">
        <v>1</v>
      </c>
      <c r="D108" s="456">
        <v>3245340</v>
      </c>
      <c r="E108" s="430">
        <f t="shared" ref="E108:E113" si="1">IF(ISBLANK(D108),"-",D108/$D$103*$D$100*$B$116)</f>
        <v>158.63867008473204</v>
      </c>
      <c r="F108" s="457">
        <f t="shared" ref="F108:F113" si="2">IF(ISBLANK(D108), "-", (E108/$B$56)*100)</f>
        <v>99.149168802957519</v>
      </c>
    </row>
    <row r="109" spans="1:10" ht="26.25" customHeight="1" x14ac:dyDescent="0.4">
      <c r="A109" s="305" t="s">
        <v>95</v>
      </c>
      <c r="B109" s="306">
        <v>50</v>
      </c>
      <c r="C109" s="451">
        <v>2</v>
      </c>
      <c r="D109" s="453">
        <v>3219414</v>
      </c>
      <c r="E109" s="431">
        <f t="shared" si="1"/>
        <v>157.37135567064391</v>
      </c>
      <c r="F109" s="458">
        <f t="shared" si="2"/>
        <v>98.357097294152439</v>
      </c>
    </row>
    <row r="110" spans="1:10" ht="26.25" customHeight="1" x14ac:dyDescent="0.4">
      <c r="A110" s="305" t="s">
        <v>96</v>
      </c>
      <c r="B110" s="306">
        <v>1</v>
      </c>
      <c r="C110" s="451">
        <v>3</v>
      </c>
      <c r="D110" s="453">
        <v>3245313</v>
      </c>
      <c r="E110" s="431">
        <f t="shared" si="1"/>
        <v>158.6373502710631</v>
      </c>
      <c r="F110" s="458">
        <f t="shared" si="2"/>
        <v>99.148343919414444</v>
      </c>
    </row>
    <row r="111" spans="1:10" ht="26.25" customHeight="1" x14ac:dyDescent="0.4">
      <c r="A111" s="305" t="s">
        <v>97</v>
      </c>
      <c r="B111" s="306">
        <v>1</v>
      </c>
      <c r="C111" s="451">
        <v>4</v>
      </c>
      <c r="D111" s="453">
        <v>3203047</v>
      </c>
      <c r="E111" s="431">
        <f t="shared" si="1"/>
        <v>156.57130417734064</v>
      </c>
      <c r="F111" s="458">
        <f t="shared" si="2"/>
        <v>97.857065110837894</v>
      </c>
    </row>
    <row r="112" spans="1:10" ht="26.25" customHeight="1" x14ac:dyDescent="0.4">
      <c r="A112" s="305" t="s">
        <v>98</v>
      </c>
      <c r="B112" s="306">
        <v>1</v>
      </c>
      <c r="C112" s="451">
        <v>5</v>
      </c>
      <c r="D112" s="453">
        <v>3251515</v>
      </c>
      <c r="E112" s="431">
        <f t="shared" si="1"/>
        <v>158.94051635901243</v>
      </c>
      <c r="F112" s="458">
        <f t="shared" si="2"/>
        <v>99.337822724382775</v>
      </c>
    </row>
    <row r="113" spans="1:10" ht="27" customHeight="1" x14ac:dyDescent="0.4">
      <c r="A113" s="305" t="s">
        <v>100</v>
      </c>
      <c r="B113" s="306">
        <v>1</v>
      </c>
      <c r="C113" s="452">
        <v>6</v>
      </c>
      <c r="D113" s="454">
        <v>3260450</v>
      </c>
      <c r="E113" s="432">
        <f t="shared" si="1"/>
        <v>159.37727691944897</v>
      </c>
      <c r="F113" s="459">
        <f t="shared" si="2"/>
        <v>99.610798074655605</v>
      </c>
    </row>
    <row r="114" spans="1:10" ht="27" customHeight="1" x14ac:dyDescent="0.4">
      <c r="A114" s="305" t="s">
        <v>101</v>
      </c>
      <c r="B114" s="306">
        <v>1</v>
      </c>
      <c r="C114" s="413"/>
      <c r="D114" s="371"/>
      <c r="E114" s="279"/>
      <c r="F114" s="460"/>
    </row>
    <row r="115" spans="1:10" ht="26.25" customHeight="1" x14ac:dyDescent="0.4">
      <c r="A115" s="305" t="s">
        <v>102</v>
      </c>
      <c r="B115" s="306">
        <v>1</v>
      </c>
      <c r="C115" s="413"/>
      <c r="D115" s="437" t="s">
        <v>71</v>
      </c>
      <c r="E115" s="439">
        <f>AVERAGE(E108:E113)</f>
        <v>158.25607891370686</v>
      </c>
      <c r="F115" s="461">
        <f>AVERAGE(F108:F113)</f>
        <v>98.910049321066779</v>
      </c>
    </row>
    <row r="116" spans="1:10" ht="27" customHeight="1" x14ac:dyDescent="0.4">
      <c r="A116" s="305" t="s">
        <v>103</v>
      </c>
      <c r="B116" s="336">
        <f>(B115/B114)*(B113/B112)*(B111/B110)*(B109/B108)*B107</f>
        <v>4500</v>
      </c>
      <c r="C116" s="414"/>
      <c r="D116" s="438" t="s">
        <v>84</v>
      </c>
      <c r="E116" s="436">
        <f>STDEV(E108:E113)/E115</f>
        <v>6.7102050999129489E-3</v>
      </c>
      <c r="F116" s="415">
        <f>STDEV(F108:F113)/F115</f>
        <v>6.7102050999129637E-3</v>
      </c>
      <c r="I116" s="279"/>
    </row>
    <row r="117" spans="1:10" ht="27" customHeight="1" x14ac:dyDescent="0.4">
      <c r="A117" s="512" t="s">
        <v>78</v>
      </c>
      <c r="B117" s="513"/>
      <c r="C117" s="416"/>
      <c r="D117" s="375" t="s">
        <v>20</v>
      </c>
      <c r="E117" s="441">
        <f>COUNT(E108:E113)</f>
        <v>6</v>
      </c>
      <c r="F117" s="442">
        <f>COUNT(F108:F113)</f>
        <v>6</v>
      </c>
      <c r="I117" s="279"/>
      <c r="J117" s="409"/>
    </row>
    <row r="118" spans="1:10" ht="26.25" customHeight="1" x14ac:dyDescent="0.3">
      <c r="A118" s="514"/>
      <c r="B118" s="515"/>
      <c r="C118" s="279"/>
      <c r="D118" s="440"/>
      <c r="E118" s="490" t="s">
        <v>123</v>
      </c>
      <c r="F118" s="491"/>
      <c r="G118" s="279"/>
      <c r="H118" s="279"/>
      <c r="I118" s="279"/>
    </row>
    <row r="119" spans="1:10" ht="25.5" customHeight="1" x14ac:dyDescent="0.4">
      <c r="A119" s="425"/>
      <c r="B119" s="301"/>
      <c r="C119" s="279"/>
      <c r="D119" s="438" t="s">
        <v>124</v>
      </c>
      <c r="E119" s="443">
        <f>MIN(E108:E113)</f>
        <v>156.57130417734064</v>
      </c>
      <c r="F119" s="462">
        <f>MIN(F108:F113)</f>
        <v>97.857065110837894</v>
      </c>
      <c r="G119" s="279"/>
      <c r="H119" s="279"/>
      <c r="I119" s="279"/>
    </row>
    <row r="120" spans="1:10" ht="24" customHeight="1" x14ac:dyDescent="0.4">
      <c r="A120" s="425"/>
      <c r="B120" s="301"/>
      <c r="C120" s="279"/>
      <c r="D120" s="347" t="s">
        <v>125</v>
      </c>
      <c r="E120" s="444">
        <f>MAX(E108:E113)</f>
        <v>159.37727691944897</v>
      </c>
      <c r="F120" s="463">
        <f>MAX(F108:F113)</f>
        <v>99.610798074655605</v>
      </c>
      <c r="G120" s="279"/>
      <c r="H120" s="279"/>
      <c r="I120" s="279"/>
    </row>
    <row r="121" spans="1:10" ht="27" customHeight="1" x14ac:dyDescent="0.3">
      <c r="A121" s="425"/>
      <c r="B121" s="301"/>
      <c r="C121" s="279"/>
      <c r="D121" s="279"/>
      <c r="E121" s="279"/>
      <c r="F121" s="371"/>
      <c r="G121" s="279"/>
      <c r="H121" s="279"/>
      <c r="I121" s="279"/>
    </row>
    <row r="122" spans="1:10" ht="25.5" customHeight="1" x14ac:dyDescent="0.3">
      <c r="A122" s="425"/>
      <c r="B122" s="301"/>
      <c r="C122" s="279"/>
      <c r="D122" s="279"/>
      <c r="E122" s="279"/>
      <c r="F122" s="371"/>
      <c r="G122" s="279"/>
      <c r="H122" s="279"/>
      <c r="I122" s="279"/>
    </row>
    <row r="123" spans="1:10" ht="18.75" x14ac:dyDescent="0.3">
      <c r="A123" s="425"/>
      <c r="B123" s="301"/>
      <c r="C123" s="279"/>
      <c r="D123" s="279"/>
      <c r="E123" s="279"/>
      <c r="F123" s="371"/>
      <c r="G123" s="279"/>
      <c r="H123" s="279"/>
      <c r="I123" s="279"/>
    </row>
    <row r="124" spans="1:10" ht="45.75" customHeight="1" x14ac:dyDescent="0.65">
      <c r="A124" s="289" t="s">
        <v>106</v>
      </c>
      <c r="B124" s="377" t="s">
        <v>126</v>
      </c>
      <c r="C124" s="524" t="str">
        <f>B26</f>
        <v>TRIMETHOPRIM</v>
      </c>
      <c r="D124" s="524"/>
      <c r="E124" s="378" t="s">
        <v>127</v>
      </c>
      <c r="F124" s="378"/>
      <c r="G124" s="464">
        <f>F115</f>
        <v>98.910049321066779</v>
      </c>
      <c r="H124" s="279"/>
      <c r="I124" s="279"/>
    </row>
    <row r="125" spans="1:10" ht="45.75" customHeight="1" x14ac:dyDescent="0.65">
      <c r="A125" s="289"/>
      <c r="B125" s="377" t="s">
        <v>128</v>
      </c>
      <c r="C125" s="290" t="s">
        <v>129</v>
      </c>
      <c r="D125" s="464">
        <f>MIN(F108:F113)</f>
        <v>97.857065110837894</v>
      </c>
      <c r="E125" s="389" t="s">
        <v>130</v>
      </c>
      <c r="F125" s="464">
        <f>MAX(F108:F113)</f>
        <v>99.610798074655605</v>
      </c>
      <c r="G125" s="379"/>
      <c r="H125" s="279"/>
      <c r="I125" s="279"/>
    </row>
    <row r="126" spans="1:10" ht="19.5" customHeight="1" x14ac:dyDescent="0.3">
      <c r="A126" s="417"/>
      <c r="B126" s="417"/>
      <c r="C126" s="418"/>
      <c r="D126" s="418"/>
      <c r="E126" s="418"/>
      <c r="F126" s="418"/>
      <c r="G126" s="418"/>
      <c r="H126" s="418"/>
    </row>
    <row r="127" spans="1:10" ht="18.75" x14ac:dyDescent="0.3">
      <c r="B127" s="525" t="s">
        <v>26</v>
      </c>
      <c r="C127" s="525"/>
      <c r="E127" s="384" t="s">
        <v>27</v>
      </c>
      <c r="F127" s="419"/>
      <c r="G127" s="525" t="s">
        <v>28</v>
      </c>
      <c r="H127" s="525"/>
    </row>
    <row r="128" spans="1:10" ht="69.95" customHeight="1" x14ac:dyDescent="0.3">
      <c r="A128" s="420" t="s">
        <v>29</v>
      </c>
      <c r="B128" s="421"/>
      <c r="C128" s="421"/>
      <c r="E128" s="421"/>
      <c r="F128" s="279"/>
      <c r="G128" s="422"/>
      <c r="H128" s="422"/>
    </row>
    <row r="129" spans="1:9" ht="69.95" customHeight="1" x14ac:dyDescent="0.3">
      <c r="A129" s="420" t="s">
        <v>30</v>
      </c>
      <c r="B129" s="423"/>
      <c r="C129" s="423"/>
      <c r="E129" s="423"/>
      <c r="F129" s="279"/>
      <c r="G129" s="424"/>
      <c r="H129" s="424"/>
    </row>
    <row r="130" spans="1:9" ht="18.75" x14ac:dyDescent="0.3">
      <c r="A130" s="370"/>
      <c r="B130" s="370"/>
      <c r="C130" s="371"/>
      <c r="D130" s="371"/>
      <c r="E130" s="371"/>
      <c r="F130" s="374"/>
      <c r="G130" s="371"/>
      <c r="H130" s="371"/>
      <c r="I130" s="279"/>
    </row>
    <row r="131" spans="1:9" ht="18.75" x14ac:dyDescent="0.3">
      <c r="A131" s="370"/>
      <c r="B131" s="370"/>
      <c r="C131" s="371"/>
      <c r="D131" s="371"/>
      <c r="E131" s="371"/>
      <c r="F131" s="374"/>
      <c r="G131" s="371"/>
      <c r="H131" s="371"/>
      <c r="I131" s="279"/>
    </row>
    <row r="132" spans="1:9" ht="18.75" x14ac:dyDescent="0.3">
      <c r="A132" s="370"/>
      <c r="B132" s="370"/>
      <c r="C132" s="371"/>
      <c r="D132" s="371"/>
      <c r="E132" s="371"/>
      <c r="F132" s="374"/>
      <c r="G132" s="371"/>
      <c r="H132" s="371"/>
      <c r="I132" s="279"/>
    </row>
    <row r="133" spans="1:9" ht="18.75" x14ac:dyDescent="0.3">
      <c r="A133" s="370"/>
      <c r="B133" s="370"/>
      <c r="C133" s="371"/>
      <c r="D133" s="371"/>
      <c r="E133" s="371"/>
      <c r="F133" s="374"/>
      <c r="G133" s="371"/>
      <c r="H133" s="371"/>
      <c r="I133" s="279"/>
    </row>
    <row r="134" spans="1:9" ht="18.75" x14ac:dyDescent="0.3">
      <c r="A134" s="370"/>
      <c r="B134" s="370"/>
      <c r="C134" s="371"/>
      <c r="D134" s="371"/>
      <c r="E134" s="371"/>
      <c r="F134" s="374"/>
      <c r="G134" s="371"/>
      <c r="H134" s="371"/>
      <c r="I134" s="279"/>
    </row>
    <row r="135" spans="1:9" ht="18.75" x14ac:dyDescent="0.3">
      <c r="A135" s="370"/>
      <c r="B135" s="370"/>
      <c r="C135" s="371"/>
      <c r="D135" s="371"/>
      <c r="E135" s="371"/>
      <c r="F135" s="374"/>
      <c r="G135" s="371"/>
      <c r="H135" s="371"/>
      <c r="I135" s="279"/>
    </row>
    <row r="136" spans="1:9" ht="18.75" x14ac:dyDescent="0.3">
      <c r="A136" s="370"/>
      <c r="B136" s="370"/>
      <c r="C136" s="371"/>
      <c r="D136" s="371"/>
      <c r="E136" s="371"/>
      <c r="F136" s="374"/>
      <c r="G136" s="371"/>
      <c r="H136" s="371"/>
      <c r="I136" s="279"/>
    </row>
    <row r="137" spans="1:9" ht="18.75" x14ac:dyDescent="0.3">
      <c r="A137" s="370"/>
      <c r="B137" s="370"/>
      <c r="C137" s="371"/>
      <c r="D137" s="371"/>
      <c r="E137" s="371"/>
      <c r="F137" s="374"/>
      <c r="G137" s="371"/>
      <c r="H137" s="371"/>
      <c r="I137" s="279"/>
    </row>
    <row r="138" spans="1:9" ht="18.75" x14ac:dyDescent="0.3">
      <c r="A138" s="370"/>
      <c r="B138" s="370"/>
      <c r="C138" s="371"/>
      <c r="D138" s="371"/>
      <c r="E138" s="371"/>
      <c r="F138" s="374"/>
      <c r="G138" s="371"/>
      <c r="H138" s="371"/>
      <c r="I138" s="27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2017-11-13T06:12:49Z</cp:lastPrinted>
  <dcterms:created xsi:type="dcterms:W3CDTF">2005-07-05T10:19:27Z</dcterms:created>
  <dcterms:modified xsi:type="dcterms:W3CDTF">2017-11-13T06:13:33Z</dcterms:modified>
</cp:coreProperties>
</file>