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 activeTab="2"/>
  </bookViews>
  <sheets>
    <sheet name="SST" sheetId="1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I39" i="3"/>
  <c r="D101" i="3"/>
  <c r="F45" i="3"/>
  <c r="F46" i="3" s="1"/>
  <c r="F98" i="3"/>
  <c r="F99" i="3" s="1"/>
  <c r="G39" i="3"/>
  <c r="D49" i="3"/>
  <c r="G38" i="3"/>
  <c r="G41" i="3"/>
  <c r="C50" i="2"/>
  <c r="D97" i="3"/>
  <c r="D98" i="3" s="1"/>
  <c r="D99" i="3" s="1"/>
  <c r="B49" i="2"/>
  <c r="D50" i="2"/>
  <c r="D44" i="3"/>
  <c r="D45" i="3" s="1"/>
  <c r="D46" i="3" s="1"/>
  <c r="G91" i="3" l="1"/>
  <c r="G94" i="3"/>
  <c r="G93" i="3"/>
  <c r="D102" i="3"/>
  <c r="G40" i="3"/>
  <c r="G42" i="3" s="1"/>
  <c r="G92" i="3"/>
  <c r="E92" i="3"/>
  <c r="E94" i="3"/>
  <c r="E39" i="3"/>
  <c r="E91" i="3"/>
  <c r="E40" i="3"/>
  <c r="E93" i="3"/>
  <c r="E38" i="3"/>
  <c r="E41" i="3"/>
  <c r="G95" i="3" l="1"/>
  <c r="D103" i="3"/>
  <c r="E95" i="3"/>
  <c r="D105" i="3"/>
  <c r="D50" i="3"/>
  <c r="E42" i="3"/>
  <c r="D52" i="3"/>
  <c r="D51" i="3" l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4" i="3" l="1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<sst xmlns="http://schemas.openxmlformats.org/spreadsheetml/2006/main" count="239" uniqueCount="134">
  <si>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</si>
  <si>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</si>
  <si>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</si>
  <si>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</si>
  <si>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</si>
  <si>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TRICOZOLE®-400 mg TABLETS</t>
  </si>
  <si>
    <t>% age Purity:</t>
  </si>
  <si>
    <t>NDQB201711268</t>
  </si>
  <si>
    <t>Weight (mg):</t>
  </si>
  <si>
    <t>Metronidazole 400 mg</t>
  </si>
  <si>
    <t>Standard Conc (mg/mL):</t>
  </si>
  <si>
    <t>Each tablet contains: Metronidazole BP 400 mg.</t>
  </si>
  <si>
    <t>2017-11-09 14:55:06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</si>
  <si>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</si>
  <si>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</si>
  <si>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</si>
  <si>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</si>
  <si>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</si>
  <si>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</si>
  <si>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</si>
  <si>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</si>
  <si>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</si>
  <si>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</si>
  <si>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</si>
  <si>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</si>
  <si>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</si>
  <si>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</si>
  <si>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</si>
  <si>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</si>
  <si>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</si>
  <si>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</si>
  <si>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</si>
  <si>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</si>
  <si>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</si>
  <si>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</si>
  <si>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</si>
  <si>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</si>
  <si>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</si>
  <si>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</si>
  <si>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</si>
  <si>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</si>
  <si>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</si>
  <si>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</si>
  <si>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</si>
  <si>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</si>
  <si>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</si>
  <si>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</si>
  <si>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</si>
  <si>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</si>
  <si>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</si>
  <si>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</si>
  <si>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</si>
  <si>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</si>
  <si>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</si>
  <si>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</si>
  <si>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</si>
  <si>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</si>
  <si>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</si>
  <si>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</si>
  <si>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</si>
  <si>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</si>
  <si>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</si>
  <si>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</si>
  <si>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</si>
  <si>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</si>
  <si>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</si>
  <si>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</si>
  <si>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</si>
  <si>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</si>
  <si>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</si>
  <si>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</si>
  <si>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</si>
  <si>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</si>
  <si>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</si>
  <si>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</si>
  <si>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</si>
  <si>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</si>
  <si>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</si>
  <si>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</si>
  <si>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</si>
  <si>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</si>
  <si>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</si>
  <si>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</si>
  <si>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</si>
  <si>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</si>
  <si>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</si>
  <si>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</si>
  <si>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</si>
  <si>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</si>
  <si>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</si>
  <si>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</si>
  <si>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</si>
  <si>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</si>
  <si>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</si>
  <si>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</si>
  <si>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</si>
  <si>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</si>
  <si>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</si>
  <si>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</si>
  <si>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</si>
  <si>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</si>
  <si>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</si>
  <si>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</si>
  <si>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</si>
  <si>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</si>
  <si>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</si>
  <si>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</si>
  <si>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</si>
  <si>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</si>
  <si>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</si>
  <si>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</si>
  <si>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</si>
  <si>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</si>
  <si>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</si>
  <si>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</si>
  <si>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</si>
  <si>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</si>
  <si>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</si>
  <si>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</si>
  <si>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</si>
  <si>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</si>
  <si>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</si>
  <si>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</si>
  <si>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</si>
  <si>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</si>
  <si>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</si>
  <si>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</si>
  <si>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</si>
  <si>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</si>
  <si>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</si>
  <si>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</si>
  <si>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</si>
  <si>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</si>
  <si>
    <t xml:space="preserve">Metronidazole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</si>
</sst>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C51" sqref="C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24.52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B20/25*5/10</f>
        <v>0.4904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15289733</v>
      </c>
      <c r="C24" s="18">
        <v>8468.9500000000007</v>
      </c>
      <c r="D24" s="19">
        <v>1.0900000000000001</v>
      </c>
      <c r="E24" s="20">
        <v>5.25</v>
      </c>
    </row>
    <row r="25" spans="1:6" ht="16.5" customHeight="1" x14ac:dyDescent="0.3">
      <c r="A25" s="17">
        <v>2</v>
      </c>
      <c r="B25" s="18">
        <v>15070486</v>
      </c>
      <c r="C25" s="18">
        <v>8788.4500000000007</v>
      </c>
      <c r="D25" s="19">
        <v>1.08</v>
      </c>
      <c r="E25" s="19">
        <v>5.25</v>
      </c>
    </row>
    <row r="26" spans="1:6" ht="16.5" customHeight="1" x14ac:dyDescent="0.3">
      <c r="A26" s="17">
        <v>3</v>
      </c>
      <c r="B26" s="18"/>
      <c r="C26" s="18">
        <v>8674.1</v>
      </c>
      <c r="D26" s="19">
        <v>1.1100000000000001</v>
      </c>
      <c r="E26" s="19">
        <v>5.25</v>
      </c>
    </row>
    <row r="27" spans="1:6" ht="16.5" customHeight="1" x14ac:dyDescent="0.3">
      <c r="A27" s="17">
        <v>4</v>
      </c>
      <c r="B27" s="18">
        <v>15151398</v>
      </c>
      <c r="C27" s="18">
        <v>8479.2099999999991</v>
      </c>
      <c r="D27" s="19">
        <v>1.1100000000000001</v>
      </c>
      <c r="E27" s="19">
        <v>5.25</v>
      </c>
    </row>
    <row r="28" spans="1:6" ht="16.5" customHeight="1" x14ac:dyDescent="0.3">
      <c r="A28" s="17">
        <v>5</v>
      </c>
      <c r="B28" s="18">
        <v>15132930</v>
      </c>
      <c r="C28" s="18">
        <v>8545.23</v>
      </c>
      <c r="D28" s="19">
        <v>1.1000000000000001</v>
      </c>
      <c r="E28" s="19">
        <v>5.26</v>
      </c>
    </row>
    <row r="29" spans="1:6" ht="16.5" customHeight="1" x14ac:dyDescent="0.3">
      <c r="A29" s="17">
        <v>6</v>
      </c>
      <c r="B29" s="21">
        <v>15174968</v>
      </c>
      <c r="C29" s="21">
        <v>8658.2900000000009</v>
      </c>
      <c r="D29" s="22">
        <v>1.1000000000000001</v>
      </c>
      <c r="E29" s="22">
        <v>5.26</v>
      </c>
    </row>
    <row r="30" spans="1:6" ht="16.5" customHeight="1" x14ac:dyDescent="0.3">
      <c r="A30" s="23" t="s">
        <v>18</v>
      </c>
      <c r="B30" s="24">
        <f>AVERAGE(B24:B29)</f>
        <v>15163903</v>
      </c>
      <c r="C30" s="25">
        <f>AVERAGE(C24:C29)</f>
        <v>8602.3716666666678</v>
      </c>
      <c r="D30" s="26">
        <f>AVERAGE(D24:D29)</f>
        <v>1.0983333333333334</v>
      </c>
      <c r="E30" s="26">
        <f>AVERAGE(E24:E29)</f>
        <v>5.253333333333333</v>
      </c>
    </row>
    <row r="31" spans="1:6" ht="16.5" customHeight="1" x14ac:dyDescent="0.3">
      <c r="A31" s="27" t="s">
        <v>19</v>
      </c>
      <c r="B31" s="28">
        <f>(STDEV(B24:B29)/B30)</f>
        <v>5.2960556185010724E-3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8" workbookViewId="0">
      <selection activeCell="E44" sqref="E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510.66</v>
      </c>
      <c r="D24" s="87">
        <f t="shared" ref="D24:D43" si="0">(C24-$C$46)/$C$46</f>
        <v>-3.00858452053002E-3</v>
      </c>
      <c r="E24" s="53"/>
    </row>
    <row r="25" spans="1:5" ht="15.75" customHeight="1" x14ac:dyDescent="0.3">
      <c r="C25" s="95">
        <v>513.87</v>
      </c>
      <c r="D25" s="88">
        <f t="shared" si="0"/>
        <v>3.2584864145130186E-3</v>
      </c>
      <c r="E25" s="53"/>
    </row>
    <row r="26" spans="1:5" ht="15.75" customHeight="1" x14ac:dyDescent="0.3">
      <c r="C26" s="95">
        <v>509.73</v>
      </c>
      <c r="D26" s="88">
        <f t="shared" si="0"/>
        <v>-4.8242779690004581E-3</v>
      </c>
      <c r="E26" s="53"/>
    </row>
    <row r="27" spans="1:5" ht="15.75" customHeight="1" x14ac:dyDescent="0.3">
      <c r="C27" s="95">
        <v>512.32000000000005</v>
      </c>
      <c r="D27" s="88">
        <f t="shared" si="0"/>
        <v>2.323306670623997E-4</v>
      </c>
      <c r="E27" s="53"/>
    </row>
    <row r="28" spans="1:5" ht="15.75" customHeight="1" x14ac:dyDescent="0.3">
      <c r="C28" s="95">
        <v>515.49</v>
      </c>
      <c r="D28" s="88">
        <f t="shared" si="0"/>
        <v>6.421307260235703E-3</v>
      </c>
      <c r="E28" s="53"/>
    </row>
    <row r="29" spans="1:5" ht="15.75" customHeight="1" x14ac:dyDescent="0.3">
      <c r="C29" s="95">
        <v>514.71</v>
      </c>
      <c r="D29" s="88">
        <f t="shared" si="0"/>
        <v>4.8984675937766902E-3</v>
      </c>
      <c r="E29" s="53"/>
    </row>
    <row r="30" spans="1:5" ht="15.75" customHeight="1" x14ac:dyDescent="0.3">
      <c r="C30" s="95">
        <v>508.67</v>
      </c>
      <c r="D30" s="88">
        <f t="shared" si="0"/>
        <v>-6.8937780285473977E-3</v>
      </c>
      <c r="E30" s="53"/>
    </row>
    <row r="31" spans="1:5" ht="15.75" customHeight="1" x14ac:dyDescent="0.3">
      <c r="C31" s="95">
        <v>505.32</v>
      </c>
      <c r="D31" s="88">
        <f t="shared" si="0"/>
        <v>-1.3434179160134455E-2</v>
      </c>
      <c r="E31" s="53"/>
    </row>
    <row r="32" spans="1:5" ht="15.75" customHeight="1" x14ac:dyDescent="0.3">
      <c r="C32" s="95">
        <v>513.35</v>
      </c>
      <c r="D32" s="88">
        <f t="shared" si="0"/>
        <v>2.2432599702070103E-3</v>
      </c>
      <c r="E32" s="53"/>
    </row>
    <row r="33" spans="1:7" ht="15.75" customHeight="1" x14ac:dyDescent="0.3">
      <c r="C33" s="95">
        <v>510.29</v>
      </c>
      <c r="D33" s="88">
        <f t="shared" si="0"/>
        <v>-3.7309571828247137E-3</v>
      </c>
      <c r="E33" s="53"/>
    </row>
    <row r="34" spans="1:7" ht="15.75" customHeight="1" x14ac:dyDescent="0.3">
      <c r="C34" s="95">
        <v>520.63</v>
      </c>
      <c r="D34" s="88">
        <f t="shared" si="0"/>
        <v>1.6456430190491571E-2</v>
      </c>
      <c r="E34" s="53"/>
    </row>
    <row r="35" spans="1:7" ht="15.75" customHeight="1" x14ac:dyDescent="0.3">
      <c r="C35" s="95">
        <v>512.66999999999996</v>
      </c>
      <c r="D35" s="88">
        <f t="shared" si="0"/>
        <v>9.1565615842205937E-4</v>
      </c>
      <c r="E35" s="53"/>
    </row>
    <row r="36" spans="1:7" ht="15.75" customHeight="1" x14ac:dyDescent="0.3">
      <c r="C36" s="95">
        <v>509.77</v>
      </c>
      <c r="D36" s="88">
        <f t="shared" si="0"/>
        <v>-4.7461836271308335E-3</v>
      </c>
      <c r="E36" s="53"/>
    </row>
    <row r="37" spans="1:7" ht="15.75" customHeight="1" x14ac:dyDescent="0.3">
      <c r="C37" s="95">
        <v>513.35</v>
      </c>
      <c r="D37" s="88">
        <f t="shared" si="0"/>
        <v>2.2432599702070103E-3</v>
      </c>
      <c r="E37" s="53"/>
    </row>
    <row r="38" spans="1:7" ht="15.75" customHeight="1" x14ac:dyDescent="0.3">
      <c r="C38" s="95">
        <v>508.77</v>
      </c>
      <c r="D38" s="88">
        <f t="shared" si="0"/>
        <v>-6.6985421738732249E-3</v>
      </c>
      <c r="E38" s="53"/>
    </row>
    <row r="39" spans="1:7" ht="15.75" customHeight="1" x14ac:dyDescent="0.3">
      <c r="C39" s="95">
        <v>509.37</v>
      </c>
      <c r="D39" s="88">
        <f t="shared" si="0"/>
        <v>-5.5271270458277458E-3</v>
      </c>
      <c r="E39" s="53"/>
    </row>
    <row r="40" spans="1:7" ht="15.75" customHeight="1" x14ac:dyDescent="0.3">
      <c r="C40" s="95">
        <v>517.64</v>
      </c>
      <c r="D40" s="88">
        <f t="shared" si="0"/>
        <v>1.0618878135731801E-2</v>
      </c>
      <c r="E40" s="53"/>
    </row>
    <row r="41" spans="1:7" ht="15.75" customHeight="1" x14ac:dyDescent="0.3">
      <c r="C41" s="95">
        <v>515.47</v>
      </c>
      <c r="D41" s="88">
        <f t="shared" si="0"/>
        <v>6.3822600893008903E-3</v>
      </c>
      <c r="E41" s="53"/>
    </row>
    <row r="42" spans="1:7" ht="15.75" customHeight="1" x14ac:dyDescent="0.3">
      <c r="C42" s="95">
        <v>508.03</v>
      </c>
      <c r="D42" s="88">
        <f t="shared" si="0"/>
        <v>-8.143287498462614E-3</v>
      </c>
      <c r="E42" s="53"/>
    </row>
    <row r="43" spans="1:7" ht="16.5" customHeight="1" x14ac:dyDescent="0.3">
      <c r="C43" s="96">
        <v>513.91</v>
      </c>
      <c r="D43" s="89">
        <f t="shared" si="0"/>
        <v>3.3365807563826432E-3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10244.02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512.20100000000002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512.20100000000002</v>
      </c>
      <c r="C49" s="93">
        <f>-IF(C46&lt;=80,10%,IF(C46&lt;250,7.5%,5%))</f>
        <v>-0.05</v>
      </c>
      <c r="D49" s="81">
        <f>IF(C46&lt;=80,C46*0.9,IF(C46&lt;250,C46*0.925,C46*0.95))</f>
        <v>486.59095000000002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537.81105000000002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8" zoomScale="43" zoomScaleNormal="40" zoomScalePageLayoutView="43" workbookViewId="0">
      <selection activeCell="C128" sqref="C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43.14062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131</v>
      </c>
      <c r="C26" s="298"/>
    </row>
    <row r="27" spans="1:14" ht="26.25" customHeight="1" x14ac:dyDescent="0.4">
      <c r="A27" s="109" t="s">
        <v>48</v>
      </c>
      <c r="B27" s="304" t="s">
        <v>132</v>
      </c>
      <c r="C27" s="304"/>
    </row>
    <row r="28" spans="1:14" ht="27" customHeight="1" x14ac:dyDescent="0.4">
      <c r="A28" s="109" t="s">
        <v>6</v>
      </c>
      <c r="B28" s="110">
        <v>99.83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15058952</v>
      </c>
      <c r="E38" s="133">
        <f>IF(ISBLANK(D38),"-",$D$48/$D$45*D38)</f>
        <v>15379889.695026407</v>
      </c>
      <c r="F38" s="132">
        <v>13795716</v>
      </c>
      <c r="G38" s="134">
        <f>IF(ISBLANK(F38),"-",$D$48/$F$45*F38)</f>
        <v>14930000.707339035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15315310</v>
      </c>
      <c r="E39" s="138">
        <f>IF(ISBLANK(D39),"-",$D$48/$D$45*D39)</f>
        <v>15641711.219023401</v>
      </c>
      <c r="F39" s="137">
        <v>13788608</v>
      </c>
      <c r="G39" s="139">
        <f>IF(ISBLANK(F39),"-",$D$48/$F$45*F39)</f>
        <v>14922308.287095841</v>
      </c>
      <c r="I39" s="315">
        <f>ABS((F43/D43*D42)-F42)/D42</f>
        <v>2.2548734364398047E-2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14957677</v>
      </c>
      <c r="E40" s="138">
        <f>IF(ISBLANK(D40),"-",$D$48/$D$45*D40)</f>
        <v>15276456.313416334</v>
      </c>
      <c r="F40" s="137">
        <v>14174129</v>
      </c>
      <c r="G40" s="139">
        <f>IF(ISBLANK(F40),"-",$D$48/$F$45*F40)</f>
        <v>15339526.849923175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15110646.333333334</v>
      </c>
      <c r="E42" s="148">
        <f>AVERAGE(E38:E41)</f>
        <v>15432685.742488714</v>
      </c>
      <c r="F42" s="147">
        <f>AVERAGE(F38:F41)</f>
        <v>13919484.333333334</v>
      </c>
      <c r="G42" s="149">
        <f>AVERAGE(G38:G41)</f>
        <v>15063945.281452686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24.52</v>
      </c>
      <c r="E43" s="140"/>
      <c r="F43" s="152">
        <v>23.14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24.52</v>
      </c>
      <c r="E44" s="155"/>
      <c r="F44" s="154">
        <f>F43*$B$34</f>
        <v>23.14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24.478316</v>
      </c>
      <c r="E45" s="158"/>
      <c r="F45" s="157">
        <f>F44*$B$30/100</f>
        <v>23.100662000000003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0.48956632</v>
      </c>
      <c r="E46" s="160"/>
      <c r="F46" s="161">
        <f>F45/$B$45</f>
        <v>0.46201324000000005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15248315.511970699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1.8287307599186783E-2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Metronidazole BP 400 mg.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Metronidazole 400 mg</v>
      </c>
      <c r="H56" s="179"/>
    </row>
    <row r="57" spans="1:12" ht="18.75" x14ac:dyDescent="0.3">
      <c r="A57" s="176" t="s">
        <v>88</v>
      </c>
      <c r="B57" s="247">
        <f>Uniformity!C46</f>
        <v>512.20100000000002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20" t="s">
        <v>94</v>
      </c>
      <c r="D60" s="323">
        <v>514.63</v>
      </c>
      <c r="E60" s="182">
        <v>1</v>
      </c>
      <c r="F60" s="183">
        <v>19596613</v>
      </c>
      <c r="G60" s="248">
        <f>IF(ISBLANK(F60),"-",(F60/$D$50*$D$47*$B$68)*($B$57/$D$60))</f>
        <v>426.36663729324675</v>
      </c>
      <c r="H60" s="266">
        <f t="shared" ref="H60:H71" si="0">IF(ISBLANK(F60),"-",(G60/$B$56)*100)</f>
        <v>106.59165932331169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321"/>
      <c r="D61" s="324"/>
      <c r="E61" s="184">
        <v>2</v>
      </c>
      <c r="F61" s="137">
        <v>18643142</v>
      </c>
      <c r="G61" s="249">
        <f>IF(ISBLANK(F61),"-",(F61/$D$50*$D$47*$B$68)*($B$57/$D$60))</f>
        <v>405.62181654148577</v>
      </c>
      <c r="H61" s="267">
        <f t="shared" si="0"/>
        <v>101.40545413537146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19524175</v>
      </c>
      <c r="G62" s="249">
        <f>IF(ISBLANK(F62),"-",(F62/$D$50*$D$47*$B$68)*($B$57/$D$60))</f>
        <v>424.79059216380284</v>
      </c>
      <c r="H62" s="267">
        <f t="shared" si="0"/>
        <v>106.19764804095071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507.89</v>
      </c>
      <c r="E64" s="182">
        <v>1</v>
      </c>
      <c r="F64" s="183">
        <v>19402238</v>
      </c>
      <c r="G64" s="248">
        <f>IF(ISBLANK(F64),"-",(F64/$D$50*$D$47*$B$68)*($B$57/$D$64))</f>
        <v>427.73960429941837</v>
      </c>
      <c r="H64" s="266">
        <f t="shared" si="0"/>
        <v>106.93490107485459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19275287</v>
      </c>
      <c r="G66" s="249">
        <f>IF(ISBLANK(F66),"-",(F66/$D$50*$D$47*$B$68)*($B$57/$D$64))</f>
        <v>424.94085652066138</v>
      </c>
      <c r="H66" s="267">
        <f t="shared" si="0"/>
        <v>106.23521413016535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666.66666666666674</v>
      </c>
      <c r="C68" s="320" t="s">
        <v>104</v>
      </c>
      <c r="D68" s="323">
        <v>515.16999999999996</v>
      </c>
      <c r="E68" s="182">
        <v>1</v>
      </c>
      <c r="F68" s="183">
        <v>19225388</v>
      </c>
      <c r="G68" s="248">
        <f>IF(ISBLANK(F68),"-",(F68/$D$50*$D$47*$B$68)*($B$57/$D$68))</f>
        <v>417.85138527242196</v>
      </c>
      <c r="H68" s="267">
        <f t="shared" si="0"/>
        <v>104.46284631810549</v>
      </c>
    </row>
    <row r="69" spans="1:8" ht="27" customHeight="1" x14ac:dyDescent="0.4">
      <c r="A69" s="172" t="s">
        <v>105</v>
      </c>
      <c r="B69" s="189">
        <f>(D47*B68)/B56*B57</f>
        <v>426.83416666666676</v>
      </c>
      <c r="C69" s="321"/>
      <c r="D69" s="324"/>
      <c r="E69" s="184">
        <v>2</v>
      </c>
      <c r="F69" s="137">
        <v>19653448</v>
      </c>
      <c r="G69" s="249">
        <f>IF(ISBLANK(F69),"-",(F69/$D$50*$D$47*$B$68)*($B$57/$D$68))</f>
        <v>427.1549927720319</v>
      </c>
      <c r="H69" s="267">
        <f t="shared" si="0"/>
        <v>106.78874819300796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422.06655498043841</v>
      </c>
      <c r="H72" s="269">
        <f>AVERAGE(H60:H71)</f>
        <v>105.5166387451096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1.8866426112355509E-2</v>
      </c>
      <c r="H73" s="253">
        <f>STDEV(H60:H71)/H72</f>
        <v>1.886642611235545E-2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7</v>
      </c>
      <c r="H74" s="196">
        <f>COUNT(H60:H71)</f>
        <v>7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metronidazole</v>
      </c>
      <c r="D76" s="328"/>
      <c r="E76" s="198" t="s">
        <v>108</v>
      </c>
      <c r="F76" s="198"/>
      <c r="G76" s="282">
        <f>H72</f>
        <v>105.5166387451096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metronidazole</v>
      </c>
      <c r="C79" s="314"/>
    </row>
    <row r="80" spans="1:8" ht="26.25" customHeight="1" x14ac:dyDescent="0.4">
      <c r="A80" s="109" t="s">
        <v>48</v>
      </c>
      <c r="B80" s="314" t="str">
        <f>B27</f>
        <v>M2-4</v>
      </c>
      <c r="C80" s="314"/>
    </row>
    <row r="81" spans="1:12" ht="27" customHeight="1" x14ac:dyDescent="0.4">
      <c r="A81" s="109" t="s">
        <v>6</v>
      </c>
      <c r="B81" s="201">
        <f>B28</f>
        <v>99.83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06">
        <v>1</v>
      </c>
      <c r="D91" s="132">
        <v>0.42899999999999999</v>
      </c>
      <c r="E91" s="133">
        <f>IF(ISBLANK(D91),"-",$D$101/$D$98*D91)</f>
        <v>0.38946034250613204</v>
      </c>
      <c r="F91" s="132">
        <v>0.41699999999999998</v>
      </c>
      <c r="G91" s="134">
        <f>IF(ISBLANK(F91),"-",$D$101/$F$98*F91)</f>
        <v>0.4011429051975508</v>
      </c>
      <c r="I91" s="135"/>
    </row>
    <row r="92" spans="1:12" ht="26.25" customHeight="1" x14ac:dyDescent="0.4">
      <c r="A92" s="124" t="s">
        <v>67</v>
      </c>
      <c r="B92" s="125">
        <v>5</v>
      </c>
      <c r="C92" s="191">
        <v>2</v>
      </c>
      <c r="D92" s="137">
        <v>0.44500000000000001</v>
      </c>
      <c r="E92" s="138">
        <f>IF(ISBLANK(D92),"-",$D$101/$D$98*D92)</f>
        <v>0.40398566996556823</v>
      </c>
      <c r="F92" s="137">
        <v>0.42</v>
      </c>
      <c r="G92" s="139">
        <f>IF(ISBLANK(F92),"-",$D$101/$F$98*F92)</f>
        <v>0.40402882537882817</v>
      </c>
      <c r="I92" s="315">
        <f>ABS((F96/D96*D95)-F95)/D95</f>
        <v>8.5171301111747876E-3</v>
      </c>
    </row>
    <row r="93" spans="1:12" ht="26.25" customHeight="1" x14ac:dyDescent="0.4">
      <c r="A93" s="124" t="s">
        <v>68</v>
      </c>
      <c r="B93" s="125">
        <v>50</v>
      </c>
      <c r="C93" s="191">
        <v>3</v>
      </c>
      <c r="D93" s="137">
        <v>0.44500000000000001</v>
      </c>
      <c r="E93" s="138">
        <f>IF(ISBLANK(D93),"-",$D$101/$D$98*D93)</f>
        <v>0.40398566996556823</v>
      </c>
      <c r="F93" s="137">
        <v>0.41899999999999998</v>
      </c>
      <c r="G93" s="139">
        <f>IF(ISBLANK(F93),"-",$D$101/$F$98*F93)</f>
        <v>0.40306685198506903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0.43966666666666665</v>
      </c>
      <c r="E95" s="148">
        <f>AVERAGE(E91:E94)</f>
        <v>0.39914389414575613</v>
      </c>
      <c r="F95" s="211">
        <f>AVERAGE(F91:F94)</f>
        <v>0.41866666666666669</v>
      </c>
      <c r="G95" s="212">
        <f>AVERAGE(G91:G94)</f>
        <v>0.40274619418714935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24.52</v>
      </c>
      <c r="E96" s="140"/>
      <c r="F96" s="152">
        <v>23.14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24.52</v>
      </c>
      <c r="E97" s="155"/>
      <c r="F97" s="154">
        <f>F96*$B$87</f>
        <v>23.14</v>
      </c>
    </row>
    <row r="98" spans="1:10" ht="19.5" customHeight="1" x14ac:dyDescent="0.3">
      <c r="A98" s="124" t="s">
        <v>76</v>
      </c>
      <c r="B98" s="217">
        <f>(B97/B96)*(B95/B94)*(B93/B92)*(B91/B90)*B89</f>
        <v>2500</v>
      </c>
      <c r="C98" s="215" t="s">
        <v>115</v>
      </c>
      <c r="D98" s="218">
        <f>D97*$B$83/100</f>
        <v>24.478316</v>
      </c>
      <c r="E98" s="158"/>
      <c r="F98" s="157">
        <f>F97*$B$83/100</f>
        <v>23.100662000000003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9.7913263999999996E-3</v>
      </c>
      <c r="E99" s="158"/>
      <c r="F99" s="161">
        <f>F98/$B$98</f>
        <v>9.2402648000000018E-3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8.8888888888888889E-3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0.40094504416645277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1.4303226729978965E-2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5</v>
      </c>
      <c r="C108" s="273">
        <v>1</v>
      </c>
      <c r="D108" s="283">
        <v>0.39400000000000002</v>
      </c>
      <c r="E108" s="250">
        <f t="shared" ref="E108:E113" si="1">IF(ISBLANK(D108),"-",D108/$D$103*$D$100*$B$116)</f>
        <v>393.07132559187386</v>
      </c>
      <c r="F108" s="274">
        <f t="shared" ref="F108:F113" si="2">IF(ISBLANK(D108), "-", (E108/$B$56)*100)</f>
        <v>98.267831397968465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84">
        <v>0.38100000000000001</v>
      </c>
      <c r="E109" s="251">
        <f t="shared" si="1"/>
        <v>380.10196713325877</v>
      </c>
      <c r="F109" s="275">
        <f t="shared" si="2"/>
        <v>95.025491783314692</v>
      </c>
    </row>
    <row r="110" spans="1:10" ht="26.25" customHeight="1" x14ac:dyDescent="0.4">
      <c r="A110" s="124" t="s">
        <v>96</v>
      </c>
      <c r="B110" s="125">
        <v>4</v>
      </c>
      <c r="C110" s="271">
        <v>3</v>
      </c>
      <c r="D110" s="284">
        <v>0.379</v>
      </c>
      <c r="E110" s="251">
        <f t="shared" si="1"/>
        <v>378.10668121654879</v>
      </c>
      <c r="F110" s="275">
        <f t="shared" si="2"/>
        <v>94.526670304137198</v>
      </c>
    </row>
    <row r="111" spans="1:10" ht="26.25" customHeight="1" x14ac:dyDescent="0.4">
      <c r="A111" s="124" t="s">
        <v>97</v>
      </c>
      <c r="B111" s="125">
        <v>50</v>
      </c>
      <c r="C111" s="271">
        <v>4</v>
      </c>
      <c r="D111" s="284">
        <v>0.38200000000000001</v>
      </c>
      <c r="E111" s="251">
        <f t="shared" si="1"/>
        <v>381.09961009161378</v>
      </c>
      <c r="F111" s="275">
        <f t="shared" si="2"/>
        <v>95.274902522903446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0.375</v>
      </c>
      <c r="E112" s="251">
        <f t="shared" si="1"/>
        <v>374.11610938312867</v>
      </c>
      <c r="F112" s="275">
        <f t="shared" si="2"/>
        <v>93.529027345782168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0.379</v>
      </c>
      <c r="E113" s="252">
        <f t="shared" si="1"/>
        <v>378.10668121654879</v>
      </c>
      <c r="F113" s="276">
        <f t="shared" si="2"/>
        <v>94.526670304137198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380.76706243882876</v>
      </c>
      <c r="F115" s="278">
        <f>AVERAGE(F108:F113)</f>
        <v>95.19176560970719</v>
      </c>
    </row>
    <row r="116" spans="1:10" ht="27" customHeight="1" x14ac:dyDescent="0.4">
      <c r="A116" s="124" t="s">
        <v>103</v>
      </c>
      <c r="B116" s="156">
        <f>(B115/B114)*(B113/B112)*(B111/B110)*(B109/B108)*B107</f>
        <v>45000</v>
      </c>
      <c r="C116" s="234"/>
      <c r="D116" s="258" t="s">
        <v>84</v>
      </c>
      <c r="E116" s="256">
        <f>STDEV(E108:E113)/E115</f>
        <v>1.7033926440712485E-2</v>
      </c>
      <c r="F116" s="235">
        <f>STDEV(F108:F113)/F115</f>
        <v>1.7033926440712485E-2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374.11610938312867</v>
      </c>
      <c r="F119" s="279">
        <f>MIN(F108:F113)</f>
        <v>93.529027345782168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393.07132559187386</v>
      </c>
      <c r="F120" s="280">
        <f>MAX(F108:F113)</f>
        <v>98.267831397968465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metronidazole</v>
      </c>
      <c r="D124" s="328"/>
      <c r="E124" s="198" t="s">
        <v>127</v>
      </c>
      <c r="F124" s="198"/>
      <c r="G124" s="281">
        <f>F115</f>
        <v>95.19176560970719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93.529027345782168</v>
      </c>
      <c r="E125" s="209" t="s">
        <v>130</v>
      </c>
      <c r="F125" s="281">
        <f>MAX(F108:F113)</f>
        <v>98.267831397968465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2017-11-15T12:38:25Z</cp:lastPrinted>
  <dcterms:created xsi:type="dcterms:W3CDTF">2005-07-05T10:19:27Z</dcterms:created>
  <dcterms:modified xsi:type="dcterms:W3CDTF">2017-11-16T05:21:01Z</dcterms:modified>
</cp:coreProperties>
</file>