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2"/>
  </bookViews>
  <sheets>
    <sheet name="SST" sheetId="4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3" l="1"/>
  <c r="I92" i="3"/>
  <c r="D101" i="3"/>
  <c r="D102" i="3" s="1"/>
  <c r="F97" i="3"/>
  <c r="I39" i="3"/>
  <c r="F45" i="3"/>
  <c r="F46" i="3" s="1"/>
  <c r="D98" i="3"/>
  <c r="D99" i="3" s="1"/>
  <c r="F98" i="3"/>
  <c r="F99" i="3" s="1"/>
  <c r="D49" i="3"/>
  <c r="G38" i="3"/>
  <c r="G41" i="3"/>
  <c r="D44" i="3"/>
  <c r="D45" i="3" s="1"/>
  <c r="D46" i="3" s="1"/>
  <c r="E92" i="3" l="1"/>
  <c r="E94" i="3"/>
  <c r="E91" i="3"/>
  <c r="G93" i="3"/>
  <c r="G91" i="3"/>
  <c r="G94" i="3"/>
  <c r="E93" i="3"/>
  <c r="G92" i="3"/>
  <c r="G39" i="3"/>
  <c r="G40" i="3"/>
  <c r="E38" i="3"/>
  <c r="E40" i="3"/>
  <c r="E41" i="3"/>
  <c r="E39" i="3"/>
  <c r="D103" i="3" l="1"/>
  <c r="D104" i="3" s="1"/>
  <c r="E95" i="3"/>
  <c r="G95" i="3"/>
  <c r="G42" i="3"/>
  <c r="D105" i="3"/>
  <c r="E113" i="3"/>
  <c r="F113" i="3" s="1"/>
  <c r="E111" i="3"/>
  <c r="F111" i="3" s="1"/>
  <c r="D50" i="3"/>
  <c r="E42" i="3"/>
  <c r="D52" i="3"/>
  <c r="E108" i="3" l="1"/>
  <c r="F108" i="3" s="1"/>
  <c r="E110" i="3"/>
  <c r="F110" i="3" s="1"/>
  <c r="E112" i="3"/>
  <c r="F112" i="3" s="1"/>
  <c r="E109" i="3"/>
  <c r="F109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E119" i="3" l="1"/>
  <c r="E115" i="3"/>
  <c r="E116" i="3" s="1"/>
  <c r="E120" i="3"/>
  <c r="E117" i="3"/>
  <c r="F125" i="3"/>
  <c r="F120" i="3"/>
  <c r="F117" i="3"/>
  <c r="D125" i="3"/>
  <c r="F115" i="3"/>
  <c r="F119" i="3"/>
  <c r="G74" i="3"/>
  <c r="G72" i="3"/>
  <c r="G73" i="3" s="1"/>
  <c r="H60" i="3"/>
  <c r="H72" i="3" l="1"/>
  <c r="H74" i="3"/>
  <c r="G124" i="3"/>
  <c r="F116" i="3"/>
  <c r="G76" i="3" l="1"/>
  <c r="H73" i="3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<sst xmlns="http://schemas.openxmlformats.org/spreadsheetml/2006/main" count="239" uniqueCount="135">
  <si>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</si>
  <si>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</si>
  <si>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</si>
  <si>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</si>
  <si>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</si>
  <si>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</si>
  <si>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</si>
  <si>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NDQB201711270</t>
  </si>
  <si>
    <t>Weight (mg):</t>
  </si>
  <si>
    <t>Metronidazole 400 mg</t>
  </si>
  <si>
    <t>Standard Conc (mg/mL):</t>
  </si>
  <si>
    <t>Each tablets contains: Metronidazole BP 400 mg.</t>
  </si>
  <si>
    <t>2017-11-09 15:03:10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</si>
  <si>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</si>
  <si>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</si>
  <si>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</si>
  <si>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</si>
  <si>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</si>
  <si>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</si>
  <si>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</si>
  <si>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</si>
  <si>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</si>
  <si>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</si>
  <si>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</si>
  <si>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</si>
  <si>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</si>
  <si>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</si>
  <si>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</si>
  <si>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</si>
  <si>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</si>
  <si>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</si>
  <si>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</si>
  <si>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</si>
  <si>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</si>
  <si>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</si>
  <si>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</si>
  <si>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</si>
  <si>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</si>
  <si>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</si>
  <si>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</si>
  <si>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</si>
  <si>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</si>
  <si>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</si>
  <si>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</si>
  <si>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</si>
  <si>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</si>
  <si>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</si>
  <si>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</si>
  <si>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</si>
  <si>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</si>
  <si>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</si>
  <si>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</si>
  <si>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</si>
  <si>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</si>
  <si>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</si>
  <si>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</si>
  <si>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</si>
  <si>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</si>
  <si>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</si>
  <si>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</si>
  <si>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</si>
  <si>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</si>
  <si>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</si>
  <si>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</si>
  <si>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</si>
  <si>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</si>
  <si>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</si>
  <si>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</si>
  <si>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</si>
  <si>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</si>
  <si>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</si>
  <si>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</si>
  <si>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</si>
  <si>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</si>
  <si>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</si>
  <si>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</si>
  <si>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</si>
  <si>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</si>
  <si>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</si>
  <si>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</si>
  <si>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</si>
  <si>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</si>
  <si>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</si>
  <si>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</si>
  <si>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</si>
  <si>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</si>
  <si>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</si>
  <si>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</si>
  <si>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</si>
  <si>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</si>
  <si>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</si>
  <si>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</si>
  <si>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</si>
  <si>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</si>
  <si>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</si>
  <si>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</si>
  <si>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</si>
  <si>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</si>
  <si>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</si>
  <si>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</si>
  <si>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</si>
  <si>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</si>
  <si>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</si>
  <si>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</si>
  <si>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</si>
  <si>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</si>
  <si>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</si>
  <si>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</si>
  <si>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</si>
  <si>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</si>
  <si>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</si>
  <si>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</si>
  <si>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</si>
  <si>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</si>
  <si>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</si>
  <si>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</si>
  <si>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</si>
  <si>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</si>
  <si>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</si>
  <si>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</si>
  <si>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</si>
  <si>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</si>
  <si>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</si>
  <si>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</si>
  <si>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</si>
  <si>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</si>
  <si>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</si>
  <si>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</si>
  <si>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</si>
  <si>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</si>
  <si>
    <t xml:space="preserve">Metronidazole </t>
  </si>
  <si>
    <t>2017-11-09 14:55:06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</si>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</sst>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3" xfId="0" applyNumberFormat="1" applyFont="1" applyFill="1" applyBorder="1" applyAlignment="1" applyProtection="1">
      <alignment horizontal="center"/>
      <protection locked="0"/>
    </xf>
    <xf numFmtId="171" fontId="12" fillId="3" borderId="14" xfId="0" applyNumberFormat="1" applyFont="1" applyFill="1" applyBorder="1" applyAlignment="1" applyProtection="1">
      <alignment horizontal="center"/>
      <protection locked="0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B51" sqref="B51"/>
    </sheetView>
  </sheetViews>
  <sheetFormatPr defaultRowHeight="13.5" x14ac:dyDescent="0.25"/>
  <cols>
    <col min="1" max="1" width="27.5703125" style="288" customWidth="1"/>
    <col min="2" max="2" width="20.42578125" style="288" customWidth="1"/>
    <col min="3" max="3" width="31.85546875" style="288" customWidth="1"/>
    <col min="4" max="4" width="25.85546875" style="288" customWidth="1"/>
    <col min="5" max="5" width="25.7109375" style="288" customWidth="1"/>
    <col min="6" max="6" width="23.140625" style="288" customWidth="1"/>
    <col min="7" max="7" width="28.42578125" style="288" customWidth="1"/>
    <col min="8" max="8" width="21.5703125" style="288" customWidth="1"/>
    <col min="9" max="9" width="9.140625" style="288" customWidth="1"/>
    <col min="10" max="16384" width="9.140625" style="325"/>
  </cols>
  <sheetData>
    <row r="14" spans="1:6" ht="15" customHeight="1" x14ac:dyDescent="0.3">
      <c r="A14" s="287"/>
      <c r="C14" s="289"/>
      <c r="F14" s="289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291" t="s">
        <v>1</v>
      </c>
      <c r="B16" s="292" t="s">
        <v>2</v>
      </c>
    </row>
    <row r="17" spans="1:5" ht="16.5" customHeight="1" x14ac:dyDescent="0.3">
      <c r="A17" s="293" t="s">
        <v>3</v>
      </c>
      <c r="B17" s="293" t="s">
        <v>5</v>
      </c>
      <c r="D17" s="294"/>
      <c r="E17" s="295"/>
    </row>
    <row r="18" spans="1:5" ht="16.5" customHeight="1" x14ac:dyDescent="0.3">
      <c r="A18" s="296" t="s">
        <v>4</v>
      </c>
      <c r="B18" s="288" t="s">
        <v>130</v>
      </c>
      <c r="C18" s="295"/>
      <c r="D18" s="295"/>
      <c r="E18" s="295"/>
    </row>
    <row r="19" spans="1:5" ht="16.5" customHeight="1" x14ac:dyDescent="0.3">
      <c r="A19" s="296" t="s">
        <v>6</v>
      </c>
      <c r="B19" s="297">
        <v>99.83</v>
      </c>
      <c r="C19" s="295"/>
      <c r="D19" s="295"/>
      <c r="E19" s="295"/>
    </row>
    <row r="20" spans="1:5" ht="16.5" customHeight="1" x14ac:dyDescent="0.3">
      <c r="A20" s="293" t="s">
        <v>8</v>
      </c>
      <c r="B20" s="297">
        <v>24.52</v>
      </c>
      <c r="C20" s="295"/>
      <c r="D20" s="295"/>
      <c r="E20" s="295"/>
    </row>
    <row r="21" spans="1:5" ht="16.5" customHeight="1" x14ac:dyDescent="0.3">
      <c r="A21" s="293" t="s">
        <v>10</v>
      </c>
      <c r="B21" s="298">
        <f>B20/25*5/10</f>
        <v>0.4904</v>
      </c>
      <c r="C21" s="295"/>
      <c r="D21" s="295"/>
      <c r="E21" s="295"/>
    </row>
    <row r="22" spans="1:5" ht="15.75" customHeight="1" x14ac:dyDescent="0.25">
      <c r="A22" s="295"/>
      <c r="B22" s="295" t="s">
        <v>131</v>
      </c>
      <c r="C22" s="295"/>
      <c r="D22" s="295"/>
      <c r="E22" s="295"/>
    </row>
    <row r="23" spans="1:5" ht="16.5" customHeight="1" x14ac:dyDescent="0.3">
      <c r="A23" s="299" t="s">
        <v>13</v>
      </c>
      <c r="B23" s="300" t="s">
        <v>14</v>
      </c>
      <c r="C23" s="299" t="s">
        <v>15</v>
      </c>
      <c r="D23" s="299" t="s">
        <v>16</v>
      </c>
      <c r="E23" s="299" t="s">
        <v>17</v>
      </c>
    </row>
    <row r="24" spans="1:5" ht="16.5" customHeight="1" x14ac:dyDescent="0.3">
      <c r="A24" s="301">
        <v>1</v>
      </c>
      <c r="B24" s="302">
        <v>15289733</v>
      </c>
      <c r="C24" s="302">
        <v>8468.9500000000007</v>
      </c>
      <c r="D24" s="303">
        <v>1.0900000000000001</v>
      </c>
      <c r="E24" s="304">
        <v>5.25</v>
      </c>
    </row>
    <row r="25" spans="1:5" ht="16.5" customHeight="1" x14ac:dyDescent="0.3">
      <c r="A25" s="301">
        <v>2</v>
      </c>
      <c r="B25" s="302">
        <v>15070486</v>
      </c>
      <c r="C25" s="302">
        <v>8788.4500000000007</v>
      </c>
      <c r="D25" s="303">
        <v>1.08</v>
      </c>
      <c r="E25" s="303">
        <v>5.25</v>
      </c>
    </row>
    <row r="26" spans="1:5" ht="16.5" customHeight="1" x14ac:dyDescent="0.3">
      <c r="A26" s="301">
        <v>3</v>
      </c>
      <c r="B26" s="302"/>
      <c r="C26" s="302">
        <v>8674.1</v>
      </c>
      <c r="D26" s="303">
        <v>1.1100000000000001</v>
      </c>
      <c r="E26" s="303">
        <v>5.25</v>
      </c>
    </row>
    <row r="27" spans="1:5" ht="16.5" customHeight="1" x14ac:dyDescent="0.3">
      <c r="A27" s="301">
        <v>4</v>
      </c>
      <c r="B27" s="302">
        <v>15151398</v>
      </c>
      <c r="C27" s="302">
        <v>8479.2099999999991</v>
      </c>
      <c r="D27" s="303">
        <v>1.1100000000000001</v>
      </c>
      <c r="E27" s="303">
        <v>5.25</v>
      </c>
    </row>
    <row r="28" spans="1:5" ht="16.5" customHeight="1" x14ac:dyDescent="0.3">
      <c r="A28" s="301">
        <v>5</v>
      </c>
      <c r="B28" s="302">
        <v>15132930</v>
      </c>
      <c r="C28" s="302">
        <v>8545.23</v>
      </c>
      <c r="D28" s="303">
        <v>1.1000000000000001</v>
      </c>
      <c r="E28" s="303">
        <v>5.26</v>
      </c>
    </row>
    <row r="29" spans="1:5" ht="16.5" customHeight="1" x14ac:dyDescent="0.3">
      <c r="A29" s="301">
        <v>6</v>
      </c>
      <c r="B29" s="305">
        <v>15174968</v>
      </c>
      <c r="C29" s="305">
        <v>8658.2900000000009</v>
      </c>
      <c r="D29" s="306">
        <v>1.1000000000000001</v>
      </c>
      <c r="E29" s="306">
        <v>5.26</v>
      </c>
    </row>
    <row r="30" spans="1:5" ht="16.5" customHeight="1" x14ac:dyDescent="0.3">
      <c r="A30" s="307" t="s">
        <v>18</v>
      </c>
      <c r="B30" s="308">
        <f>AVERAGE(B24:B29)</f>
        <v>15163903</v>
      </c>
      <c r="C30" s="309">
        <f>AVERAGE(C24:C29)</f>
        <v>8602.3716666666678</v>
      </c>
      <c r="D30" s="310">
        <f>AVERAGE(D24:D29)</f>
        <v>1.0983333333333334</v>
      </c>
      <c r="E30" s="310">
        <f>AVERAGE(E24:E29)</f>
        <v>5.253333333333333</v>
      </c>
    </row>
    <row r="31" spans="1:5" ht="16.5" customHeight="1" x14ac:dyDescent="0.3">
      <c r="A31" s="311" t="s">
        <v>19</v>
      </c>
      <c r="B31" s="312">
        <f>(STDEV(B24:B29)/B30)</f>
        <v>5.2960556185010724E-3</v>
      </c>
      <c r="C31" s="313"/>
      <c r="D31" s="313"/>
      <c r="E31" s="314"/>
    </row>
    <row r="32" spans="1:5" s="288" customFormat="1" ht="16.5" customHeight="1" x14ac:dyDescent="0.3">
      <c r="A32" s="315" t="s">
        <v>20</v>
      </c>
      <c r="B32" s="316">
        <f>COUNT(B24:B29)</f>
        <v>5</v>
      </c>
      <c r="C32" s="317"/>
      <c r="D32" s="318"/>
      <c r="E32" s="319"/>
    </row>
    <row r="33" spans="1:5" s="288" customFormat="1" ht="15.75" customHeight="1" x14ac:dyDescent="0.25">
      <c r="A33" s="295"/>
      <c r="B33" s="295"/>
      <c r="C33" s="295"/>
      <c r="D33" s="295"/>
      <c r="E33" s="295"/>
    </row>
    <row r="34" spans="1:5" s="288" customFormat="1" ht="16.5" customHeight="1" x14ac:dyDescent="0.3">
      <c r="A34" s="296" t="s">
        <v>21</v>
      </c>
      <c r="B34" s="320" t="s">
        <v>132</v>
      </c>
      <c r="C34" s="321"/>
      <c r="D34" s="321"/>
      <c r="E34" s="321"/>
    </row>
    <row r="35" spans="1:5" ht="16.5" customHeight="1" x14ac:dyDescent="0.3">
      <c r="A35" s="296"/>
      <c r="B35" s="320" t="s">
        <v>133</v>
      </c>
      <c r="C35" s="321"/>
      <c r="D35" s="321"/>
      <c r="E35" s="321"/>
    </row>
    <row r="36" spans="1:5" ht="16.5" customHeight="1" x14ac:dyDescent="0.3">
      <c r="A36" s="296"/>
      <c r="B36" s="320" t="s">
        <v>134</v>
      </c>
      <c r="C36" s="321"/>
      <c r="D36" s="321"/>
      <c r="E36" s="321"/>
    </row>
    <row r="37" spans="1:5" ht="15.75" customHeight="1" x14ac:dyDescent="0.25">
      <c r="A37" s="295"/>
      <c r="B37" s="295"/>
      <c r="C37" s="295"/>
      <c r="D37" s="295"/>
      <c r="E37" s="295"/>
    </row>
    <row r="38" spans="1:5" ht="16.5" customHeight="1" x14ac:dyDescent="0.3">
      <c r="A38" s="291" t="s">
        <v>1</v>
      </c>
      <c r="B38" s="292" t="s">
        <v>22</v>
      </c>
    </row>
    <row r="39" spans="1:5" ht="16.5" customHeight="1" x14ac:dyDescent="0.3">
      <c r="A39" s="296" t="s">
        <v>4</v>
      </c>
      <c r="B39" s="293"/>
      <c r="C39" s="295"/>
      <c r="D39" s="295"/>
      <c r="E39" s="295"/>
    </row>
    <row r="40" spans="1:5" ht="16.5" customHeight="1" x14ac:dyDescent="0.3">
      <c r="A40" s="296" t="s">
        <v>6</v>
      </c>
      <c r="B40" s="297"/>
      <c r="C40" s="295"/>
      <c r="D40" s="295"/>
      <c r="E40" s="295"/>
    </row>
    <row r="41" spans="1:5" ht="16.5" customHeight="1" x14ac:dyDescent="0.3">
      <c r="A41" s="293" t="s">
        <v>8</v>
      </c>
      <c r="B41" s="297"/>
      <c r="C41" s="295"/>
      <c r="D41" s="295"/>
      <c r="E41" s="295"/>
    </row>
    <row r="42" spans="1:5" ht="16.5" customHeight="1" x14ac:dyDescent="0.3">
      <c r="A42" s="293" t="s">
        <v>10</v>
      </c>
      <c r="B42" s="298"/>
      <c r="C42" s="295"/>
      <c r="D42" s="295"/>
      <c r="E42" s="295"/>
    </row>
    <row r="43" spans="1:5" ht="15.75" customHeight="1" x14ac:dyDescent="0.25">
      <c r="A43" s="295"/>
      <c r="B43" s="295"/>
      <c r="C43" s="295"/>
      <c r="D43" s="295"/>
      <c r="E43" s="295"/>
    </row>
    <row r="44" spans="1:5" ht="16.5" customHeight="1" x14ac:dyDescent="0.3">
      <c r="A44" s="299" t="s">
        <v>13</v>
      </c>
      <c r="B44" s="300" t="s">
        <v>14</v>
      </c>
      <c r="C44" s="299" t="s">
        <v>15</v>
      </c>
      <c r="D44" s="299" t="s">
        <v>16</v>
      </c>
      <c r="E44" s="299" t="s">
        <v>17</v>
      </c>
    </row>
    <row r="45" spans="1:5" ht="16.5" customHeight="1" x14ac:dyDescent="0.3">
      <c r="A45" s="301">
        <v>1</v>
      </c>
      <c r="B45" s="302"/>
      <c r="C45" s="302"/>
      <c r="D45" s="303"/>
      <c r="E45" s="304"/>
    </row>
    <row r="46" spans="1:5" ht="16.5" customHeight="1" x14ac:dyDescent="0.3">
      <c r="A46" s="301">
        <v>2</v>
      </c>
      <c r="B46" s="302"/>
      <c r="C46" s="302"/>
      <c r="D46" s="303"/>
      <c r="E46" s="303"/>
    </row>
    <row r="47" spans="1:5" ht="16.5" customHeight="1" x14ac:dyDescent="0.3">
      <c r="A47" s="301">
        <v>3</v>
      </c>
      <c r="B47" s="302"/>
      <c r="C47" s="302"/>
      <c r="D47" s="303"/>
      <c r="E47" s="303"/>
    </row>
    <row r="48" spans="1:5" ht="16.5" customHeight="1" x14ac:dyDescent="0.3">
      <c r="A48" s="301">
        <v>4</v>
      </c>
      <c r="B48" s="302"/>
      <c r="C48" s="302"/>
      <c r="D48" s="303"/>
      <c r="E48" s="303"/>
    </row>
    <row r="49" spans="1:7" ht="16.5" customHeight="1" x14ac:dyDescent="0.3">
      <c r="A49" s="301">
        <v>5</v>
      </c>
      <c r="B49" s="302"/>
      <c r="C49" s="302"/>
      <c r="D49" s="303"/>
      <c r="E49" s="303"/>
    </row>
    <row r="50" spans="1:7" ht="16.5" customHeight="1" x14ac:dyDescent="0.3">
      <c r="A50" s="301">
        <v>6</v>
      </c>
      <c r="B50" s="305"/>
      <c r="C50" s="305"/>
      <c r="D50" s="306"/>
      <c r="E50" s="306"/>
    </row>
    <row r="51" spans="1:7" ht="16.5" customHeight="1" x14ac:dyDescent="0.3">
      <c r="A51" s="307" t="s">
        <v>18</v>
      </c>
      <c r="B51" s="308" t="e">
        <f>AVERAGE(B45:B50)</f>
        <v>#DIV/0!</v>
      </c>
      <c r="C51" s="309" t="e">
        <f>AVERAGE(C45:C50)</f>
        <v>#DIV/0!</v>
      </c>
      <c r="D51" s="310" t="e">
        <f>AVERAGE(D45:D50)</f>
        <v>#DIV/0!</v>
      </c>
      <c r="E51" s="310" t="e">
        <f>AVERAGE(E45:E50)</f>
        <v>#DIV/0!</v>
      </c>
    </row>
    <row r="52" spans="1:7" ht="16.5" customHeight="1" x14ac:dyDescent="0.3">
      <c r="A52" s="311" t="s">
        <v>19</v>
      </c>
      <c r="B52" s="312" t="e">
        <f>(STDEV(B45:B50)/B51)</f>
        <v>#DIV/0!</v>
      </c>
      <c r="C52" s="313"/>
      <c r="D52" s="313"/>
      <c r="E52" s="314"/>
    </row>
    <row r="53" spans="1:7" s="288" customFormat="1" ht="16.5" customHeight="1" x14ac:dyDescent="0.3">
      <c r="A53" s="315" t="s">
        <v>20</v>
      </c>
      <c r="B53" s="316">
        <f>COUNT(B45:B50)</f>
        <v>0</v>
      </c>
      <c r="C53" s="317"/>
      <c r="D53" s="318"/>
      <c r="E53" s="319"/>
    </row>
    <row r="54" spans="1:7" s="288" customFormat="1" ht="15.75" customHeight="1" x14ac:dyDescent="0.25">
      <c r="A54" s="295"/>
      <c r="B54" s="295"/>
      <c r="C54" s="295"/>
      <c r="D54" s="295"/>
      <c r="E54" s="295"/>
    </row>
    <row r="55" spans="1:7" s="288" customFormat="1" ht="16.5" customHeight="1" x14ac:dyDescent="0.3">
      <c r="A55" s="296" t="s">
        <v>21</v>
      </c>
      <c r="B55" s="320" t="s">
        <v>132</v>
      </c>
      <c r="C55" s="321"/>
      <c r="D55" s="321"/>
      <c r="E55" s="321"/>
    </row>
    <row r="56" spans="1:7" ht="16.5" customHeight="1" x14ac:dyDescent="0.3">
      <c r="A56" s="296"/>
      <c r="B56" s="320" t="s">
        <v>133</v>
      </c>
      <c r="C56" s="321"/>
      <c r="D56" s="321"/>
      <c r="E56" s="321"/>
    </row>
    <row r="57" spans="1:7" ht="16.5" customHeight="1" x14ac:dyDescent="0.3">
      <c r="A57" s="296"/>
      <c r="B57" s="320" t="s">
        <v>134</v>
      </c>
      <c r="C57" s="321"/>
      <c r="D57" s="321"/>
      <c r="E57" s="321"/>
    </row>
    <row r="58" spans="1:7" ht="14.25" customHeight="1" thickBot="1" x14ac:dyDescent="0.3">
      <c r="A58" s="322"/>
      <c r="B58" s="323"/>
      <c r="D58" s="324"/>
      <c r="F58" s="325"/>
      <c r="G58" s="325"/>
    </row>
    <row r="59" spans="1:7" ht="15" customHeight="1" x14ac:dyDescent="0.3">
      <c r="B59" s="326" t="s">
        <v>23</v>
      </c>
      <c r="C59" s="326"/>
      <c r="E59" s="327" t="s">
        <v>24</v>
      </c>
      <c r="F59" s="328"/>
      <c r="G59" s="327" t="s">
        <v>25</v>
      </c>
    </row>
    <row r="60" spans="1:7" ht="15" customHeight="1" x14ac:dyDescent="0.3">
      <c r="A60" s="329" t="s">
        <v>26</v>
      </c>
      <c r="B60" s="330"/>
      <c r="C60" s="330"/>
      <c r="E60" s="330"/>
      <c r="G60" s="330"/>
    </row>
    <row r="61" spans="1:7" ht="15" customHeight="1" x14ac:dyDescent="0.3">
      <c r="A61" s="329" t="s">
        <v>27</v>
      </c>
      <c r="B61" s="331"/>
      <c r="C61" s="331"/>
      <c r="E61" s="331"/>
      <c r="G61" s="33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5" sqref="D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1" t="s">
        <v>28</v>
      </c>
      <c r="B11" s="242"/>
      <c r="C11" s="242"/>
      <c r="D11" s="242"/>
      <c r="E11" s="242"/>
      <c r="F11" s="243"/>
      <c r="G11" s="43"/>
    </row>
    <row r="12" spans="1:7" ht="16.5" customHeight="1" x14ac:dyDescent="0.3">
      <c r="A12" s="240" t="s">
        <v>29</v>
      </c>
      <c r="B12" s="240"/>
      <c r="C12" s="240"/>
      <c r="D12" s="240"/>
      <c r="E12" s="240"/>
      <c r="F12" s="240"/>
      <c r="G12" s="42"/>
    </row>
    <row r="14" spans="1:7" ht="16.5" customHeight="1" x14ac:dyDescent="0.3">
      <c r="A14" s="245" t="s">
        <v>30</v>
      </c>
      <c r="B14" s="245"/>
      <c r="C14" s="12" t="s">
        <v>5</v>
      </c>
    </row>
    <row r="15" spans="1:7" ht="16.5" customHeight="1" x14ac:dyDescent="0.3">
      <c r="A15" s="245" t="s">
        <v>31</v>
      </c>
      <c r="B15" s="245"/>
      <c r="C15" s="12" t="s">
        <v>7</v>
      </c>
    </row>
    <row r="16" spans="1:7" ht="16.5" customHeight="1" x14ac:dyDescent="0.3">
      <c r="A16" s="245" t="s">
        <v>32</v>
      </c>
      <c r="B16" s="245"/>
      <c r="C16" s="12" t="s">
        <v>9</v>
      </c>
    </row>
    <row r="17" spans="1:5" ht="16.5" customHeight="1" x14ac:dyDescent="0.3">
      <c r="A17" s="245" t="s">
        <v>33</v>
      </c>
      <c r="B17" s="245"/>
      <c r="C17" s="12" t="s">
        <v>11</v>
      </c>
    </row>
    <row r="18" spans="1:5" ht="16.5" customHeight="1" x14ac:dyDescent="0.3">
      <c r="A18" s="245" t="s">
        <v>34</v>
      </c>
      <c r="B18" s="245"/>
      <c r="C18" s="49" t="s">
        <v>12</v>
      </c>
    </row>
    <row r="19" spans="1:5" ht="16.5" customHeight="1" x14ac:dyDescent="0.3">
      <c r="A19" s="245" t="s">
        <v>35</v>
      </c>
      <c r="B19" s="24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40" t="s">
        <v>1</v>
      </c>
      <c r="B21" s="240"/>
      <c r="C21" s="11" t="s">
        <v>36</v>
      </c>
      <c r="D21" s="18"/>
    </row>
    <row r="22" spans="1:5" ht="15.75" customHeight="1" x14ac:dyDescent="0.3">
      <c r="A22" s="244"/>
      <c r="B22" s="244"/>
      <c r="C22" s="9"/>
      <c r="D22" s="244"/>
      <c r="E22" s="24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511.51</v>
      </c>
      <c r="D24" s="39">
        <f t="shared" ref="D24:D43" si="0">(C24-$C$46)/$C$46</f>
        <v>-5.9795525343627242E-3</v>
      </c>
      <c r="E24" s="5"/>
    </row>
    <row r="25" spans="1:5" ht="15.75" customHeight="1" x14ac:dyDescent="0.3">
      <c r="C25" s="47">
        <v>515.78</v>
      </c>
      <c r="D25" s="40">
        <f t="shared" si="0"/>
        <v>2.3183640472842684E-3</v>
      </c>
      <c r="E25" s="5"/>
    </row>
    <row r="26" spans="1:5" ht="15.75" customHeight="1" x14ac:dyDescent="0.3">
      <c r="C26" s="47">
        <v>516.78</v>
      </c>
      <c r="D26" s="40">
        <f t="shared" si="0"/>
        <v>4.2616700383023079E-3</v>
      </c>
      <c r="E26" s="5"/>
    </row>
    <row r="27" spans="1:5" ht="15.75" customHeight="1" x14ac:dyDescent="0.3">
      <c r="C27" s="47">
        <v>512.64</v>
      </c>
      <c r="D27" s="40">
        <f t="shared" si="0"/>
        <v>-3.7836167645123489E-3</v>
      </c>
      <c r="E27" s="5"/>
    </row>
    <row r="28" spans="1:5" ht="15.75" customHeight="1" x14ac:dyDescent="0.3">
      <c r="C28" s="47">
        <v>510.42</v>
      </c>
      <c r="D28" s="40">
        <f t="shared" si="0"/>
        <v>-8.0977560645723382E-3</v>
      </c>
      <c r="E28" s="5"/>
    </row>
    <row r="29" spans="1:5" ht="15.75" customHeight="1" x14ac:dyDescent="0.3">
      <c r="C29" s="47">
        <v>510.95</v>
      </c>
      <c r="D29" s="40">
        <f t="shared" si="0"/>
        <v>-7.0678038893328306E-3</v>
      </c>
      <c r="E29" s="5"/>
    </row>
    <row r="30" spans="1:5" ht="15.75" customHeight="1" x14ac:dyDescent="0.3">
      <c r="C30" s="47">
        <v>514.66999999999996</v>
      </c>
      <c r="D30" s="40">
        <f t="shared" si="0"/>
        <v>1.6129439725421802E-4</v>
      </c>
      <c r="E30" s="5"/>
    </row>
    <row r="31" spans="1:5" ht="15.75" customHeight="1" x14ac:dyDescent="0.3">
      <c r="C31" s="47">
        <v>519.14</v>
      </c>
      <c r="D31" s="40">
        <f t="shared" si="0"/>
        <v>8.8478721771049068E-3</v>
      </c>
      <c r="E31" s="5"/>
    </row>
    <row r="32" spans="1:5" ht="15.75" customHeight="1" x14ac:dyDescent="0.3">
      <c r="C32" s="47">
        <v>510.14</v>
      </c>
      <c r="D32" s="40">
        <f t="shared" si="0"/>
        <v>-8.6418817420574473E-3</v>
      </c>
      <c r="E32" s="5"/>
    </row>
    <row r="33" spans="1:7" ht="15.75" customHeight="1" x14ac:dyDescent="0.3">
      <c r="C33" s="47">
        <v>519.38</v>
      </c>
      <c r="D33" s="40">
        <f t="shared" si="0"/>
        <v>9.3142656149492534E-3</v>
      </c>
      <c r="E33" s="5"/>
    </row>
    <row r="34" spans="1:7" ht="15.75" customHeight="1" x14ac:dyDescent="0.3">
      <c r="C34" s="47">
        <v>513.09</v>
      </c>
      <c r="D34" s="40">
        <f t="shared" si="0"/>
        <v>-2.9091290685541427E-3</v>
      </c>
      <c r="E34" s="5"/>
    </row>
    <row r="35" spans="1:7" ht="15.75" customHeight="1" x14ac:dyDescent="0.3">
      <c r="C35" s="47">
        <v>515.73</v>
      </c>
      <c r="D35" s="40">
        <f t="shared" si="0"/>
        <v>2.2211987477334548E-3</v>
      </c>
      <c r="E35" s="5"/>
    </row>
    <row r="36" spans="1:7" ht="15.75" customHeight="1" x14ac:dyDescent="0.3">
      <c r="C36" s="47">
        <v>521.46</v>
      </c>
      <c r="D36" s="40">
        <f t="shared" si="0"/>
        <v>1.3356342076266856E-2</v>
      </c>
      <c r="E36" s="5"/>
    </row>
    <row r="37" spans="1:7" ht="15.75" customHeight="1" x14ac:dyDescent="0.3">
      <c r="C37" s="47">
        <v>520.4</v>
      </c>
      <c r="D37" s="40">
        <f t="shared" si="0"/>
        <v>1.1296437725787619E-2</v>
      </c>
      <c r="E37" s="5"/>
    </row>
    <row r="38" spans="1:7" ht="15.75" customHeight="1" x14ac:dyDescent="0.3">
      <c r="C38" s="47">
        <v>510.22</v>
      </c>
      <c r="D38" s="40">
        <f t="shared" si="0"/>
        <v>-8.4864172627759239E-3</v>
      </c>
      <c r="E38" s="5"/>
    </row>
    <row r="39" spans="1:7" ht="15.75" customHeight="1" x14ac:dyDescent="0.3">
      <c r="C39" s="47">
        <v>509.48</v>
      </c>
      <c r="D39" s="40">
        <f t="shared" si="0"/>
        <v>-9.9244636961292911E-3</v>
      </c>
      <c r="E39" s="5"/>
    </row>
    <row r="40" spans="1:7" ht="15.75" customHeight="1" x14ac:dyDescent="0.3">
      <c r="C40" s="47">
        <v>514.45000000000005</v>
      </c>
      <c r="D40" s="40">
        <f t="shared" si="0"/>
        <v>-2.6623292076958274E-4</v>
      </c>
      <c r="E40" s="5"/>
    </row>
    <row r="41" spans="1:7" ht="15.75" customHeight="1" x14ac:dyDescent="0.3">
      <c r="C41" s="47">
        <v>518.05999999999995</v>
      </c>
      <c r="D41" s="40">
        <f t="shared" si="0"/>
        <v>6.7491017068053447E-3</v>
      </c>
      <c r="E41" s="5"/>
    </row>
    <row r="42" spans="1:7" ht="15.75" customHeight="1" x14ac:dyDescent="0.3">
      <c r="C42" s="47">
        <v>511.25</v>
      </c>
      <c r="D42" s="40">
        <f t="shared" si="0"/>
        <v>-6.4848120920273965E-3</v>
      </c>
      <c r="E42" s="5"/>
    </row>
    <row r="43" spans="1:7" ht="16.5" customHeight="1" x14ac:dyDescent="0.3">
      <c r="C43" s="48">
        <v>516.19000000000005</v>
      </c>
      <c r="D43" s="41">
        <f t="shared" si="0"/>
        <v>3.1151195036018234E-3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10291.740000000002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514.5870000000001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38">
        <f>C46</f>
        <v>514.5870000000001</v>
      </c>
      <c r="C49" s="45">
        <f>-IF(C46&lt;=80,10%,IF(C46&lt;250,7.5%,5%))</f>
        <v>-0.05</v>
      </c>
      <c r="D49" s="33">
        <f>IF(C46&lt;=80,C46*0.9,IF(C46&lt;250,C46*0.925,C46*0.95))</f>
        <v>488.85765000000009</v>
      </c>
    </row>
    <row r="50" spans="1:6" ht="17.25" customHeight="1" x14ac:dyDescent="0.3">
      <c r="B50" s="239"/>
      <c r="C50" s="46">
        <f>IF(C46&lt;=80, 10%, IF(C46&lt;250, 7.5%, 5%))</f>
        <v>0.05</v>
      </c>
      <c r="D50" s="33">
        <f>IF(C46&lt;=80, C46*1.1, IF(C46&lt;250, C46*1.075, C46*1.05))</f>
        <v>540.31635000000017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0" zoomScale="41" zoomScaleNormal="40" zoomScalePageLayoutView="41" workbookViewId="0">
      <selection activeCell="F38" sqref="F38: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6" t="s">
        <v>42</v>
      </c>
      <c r="B1" s="246"/>
      <c r="C1" s="246"/>
      <c r="D1" s="246"/>
      <c r="E1" s="246"/>
      <c r="F1" s="246"/>
      <c r="G1" s="246"/>
      <c r="H1" s="246"/>
      <c r="I1" s="246"/>
    </row>
    <row r="2" spans="1:9" ht="18.75" customHeight="1" x14ac:dyDescent="0.25">
      <c r="A2" s="246"/>
      <c r="B2" s="246"/>
      <c r="C2" s="246"/>
      <c r="D2" s="246"/>
      <c r="E2" s="246"/>
      <c r="F2" s="246"/>
      <c r="G2" s="246"/>
      <c r="H2" s="246"/>
      <c r="I2" s="246"/>
    </row>
    <row r="3" spans="1:9" ht="18.75" customHeight="1" x14ac:dyDescent="0.25">
      <c r="A3" s="246"/>
      <c r="B3" s="246"/>
      <c r="C3" s="246"/>
      <c r="D3" s="246"/>
      <c r="E3" s="246"/>
      <c r="F3" s="246"/>
      <c r="G3" s="246"/>
      <c r="H3" s="246"/>
      <c r="I3" s="246"/>
    </row>
    <row r="4" spans="1:9" ht="18.75" customHeight="1" x14ac:dyDescent="0.25">
      <c r="A4" s="246"/>
      <c r="B4" s="246"/>
      <c r="C4" s="246"/>
      <c r="D4" s="246"/>
      <c r="E4" s="246"/>
      <c r="F4" s="246"/>
      <c r="G4" s="246"/>
      <c r="H4" s="246"/>
      <c r="I4" s="246"/>
    </row>
    <row r="5" spans="1:9" ht="18.75" customHeight="1" x14ac:dyDescent="0.25">
      <c r="A5" s="246"/>
      <c r="B5" s="246"/>
      <c r="C5" s="246"/>
      <c r="D5" s="246"/>
      <c r="E5" s="246"/>
      <c r="F5" s="246"/>
      <c r="G5" s="246"/>
      <c r="H5" s="246"/>
      <c r="I5" s="246"/>
    </row>
    <row r="6" spans="1:9" ht="18.75" customHeight="1" x14ac:dyDescent="0.25">
      <c r="A6" s="246"/>
      <c r="B6" s="246"/>
      <c r="C6" s="246"/>
      <c r="D6" s="246"/>
      <c r="E6" s="246"/>
      <c r="F6" s="246"/>
      <c r="G6" s="246"/>
      <c r="H6" s="246"/>
      <c r="I6" s="246"/>
    </row>
    <row r="7" spans="1:9" ht="18.75" customHeight="1" x14ac:dyDescent="0.25">
      <c r="A7" s="246"/>
      <c r="B7" s="246"/>
      <c r="C7" s="246"/>
      <c r="D7" s="246"/>
      <c r="E7" s="246"/>
      <c r="F7" s="246"/>
      <c r="G7" s="246"/>
      <c r="H7" s="246"/>
      <c r="I7" s="246"/>
    </row>
    <row r="8" spans="1:9" x14ac:dyDescent="0.25">
      <c r="A8" s="247" t="s">
        <v>43</v>
      </c>
      <c r="B8" s="247"/>
      <c r="C8" s="247"/>
      <c r="D8" s="247"/>
      <c r="E8" s="247"/>
      <c r="F8" s="247"/>
      <c r="G8" s="247"/>
      <c r="H8" s="247"/>
      <c r="I8" s="247"/>
    </row>
    <row r="9" spans="1:9" x14ac:dyDescent="0.25">
      <c r="A9" s="247"/>
      <c r="B9" s="247"/>
      <c r="C9" s="247"/>
      <c r="D9" s="247"/>
      <c r="E9" s="247"/>
      <c r="F9" s="247"/>
      <c r="G9" s="247"/>
      <c r="H9" s="247"/>
      <c r="I9" s="247"/>
    </row>
    <row r="10" spans="1:9" x14ac:dyDescent="0.25">
      <c r="A10" s="247"/>
      <c r="B10" s="247"/>
      <c r="C10" s="247"/>
      <c r="D10" s="247"/>
      <c r="E10" s="247"/>
      <c r="F10" s="247"/>
      <c r="G10" s="247"/>
      <c r="H10" s="247"/>
      <c r="I10" s="247"/>
    </row>
    <row r="11" spans="1:9" x14ac:dyDescent="0.25">
      <c r="A11" s="247"/>
      <c r="B11" s="247"/>
      <c r="C11" s="247"/>
      <c r="D11" s="247"/>
      <c r="E11" s="247"/>
      <c r="F11" s="247"/>
      <c r="G11" s="247"/>
      <c r="H11" s="247"/>
      <c r="I11" s="247"/>
    </row>
    <row r="12" spans="1:9" x14ac:dyDescent="0.25">
      <c r="A12" s="247"/>
      <c r="B12" s="247"/>
      <c r="C12" s="247"/>
      <c r="D12" s="247"/>
      <c r="E12" s="247"/>
      <c r="F12" s="247"/>
      <c r="G12" s="247"/>
      <c r="H12" s="247"/>
      <c r="I12" s="247"/>
    </row>
    <row r="13" spans="1:9" x14ac:dyDescent="0.25">
      <c r="A13" s="247"/>
      <c r="B13" s="247"/>
      <c r="C13" s="247"/>
      <c r="D13" s="247"/>
      <c r="E13" s="247"/>
      <c r="F13" s="247"/>
      <c r="G13" s="247"/>
      <c r="H13" s="247"/>
      <c r="I13" s="247"/>
    </row>
    <row r="14" spans="1:9" x14ac:dyDescent="0.25">
      <c r="A14" s="247"/>
      <c r="B14" s="247"/>
      <c r="C14" s="247"/>
      <c r="D14" s="247"/>
      <c r="E14" s="247"/>
      <c r="F14" s="247"/>
      <c r="G14" s="247"/>
      <c r="H14" s="247"/>
      <c r="I14" s="247"/>
    </row>
    <row r="15" spans="1:9" ht="19.5" customHeight="1" x14ac:dyDescent="0.3">
      <c r="A15" s="50"/>
    </row>
    <row r="16" spans="1:9" ht="19.5" customHeight="1" x14ac:dyDescent="0.3">
      <c r="A16" s="279" t="s">
        <v>28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25">
      <c r="A17" s="282" t="s">
        <v>44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">
      <c r="A18" s="52" t="s">
        <v>30</v>
      </c>
      <c r="B18" s="278" t="s">
        <v>5</v>
      </c>
      <c r="C18" s="278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83" t="s">
        <v>9</v>
      </c>
      <c r="C20" s="283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83" t="s">
        <v>11</v>
      </c>
      <c r="C21" s="283"/>
      <c r="D21" s="283"/>
      <c r="E21" s="283"/>
      <c r="F21" s="283"/>
      <c r="G21" s="283"/>
      <c r="H21" s="283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78" t="s">
        <v>128</v>
      </c>
      <c r="C26" s="278"/>
    </row>
    <row r="27" spans="1:14" ht="26.25" customHeight="1" x14ac:dyDescent="0.4">
      <c r="A27" s="61" t="s">
        <v>45</v>
      </c>
      <c r="B27" s="284" t="s">
        <v>129</v>
      </c>
      <c r="C27" s="284"/>
    </row>
    <row r="28" spans="1:14" ht="27" customHeight="1" x14ac:dyDescent="0.4">
      <c r="A28" s="61" t="s">
        <v>6</v>
      </c>
      <c r="B28" s="62">
        <v>99.83</v>
      </c>
    </row>
    <row r="29" spans="1:14" s="3" customFormat="1" ht="27" customHeight="1" x14ac:dyDescent="0.4">
      <c r="A29" s="61" t="s">
        <v>46</v>
      </c>
      <c r="B29" s="63"/>
      <c r="C29" s="254" t="s">
        <v>47</v>
      </c>
      <c r="D29" s="255"/>
      <c r="E29" s="255"/>
      <c r="F29" s="255"/>
      <c r="G29" s="256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99.83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257" t="s">
        <v>50</v>
      </c>
      <c r="D31" s="258"/>
      <c r="E31" s="258"/>
      <c r="F31" s="258"/>
      <c r="G31" s="258"/>
      <c r="H31" s="259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257" t="s">
        <v>52</v>
      </c>
      <c r="D32" s="258"/>
      <c r="E32" s="258"/>
      <c r="F32" s="258"/>
      <c r="G32" s="258"/>
      <c r="H32" s="25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25</v>
      </c>
      <c r="C36" s="51"/>
      <c r="D36" s="260" t="s">
        <v>56</v>
      </c>
      <c r="E36" s="285"/>
      <c r="F36" s="260" t="s">
        <v>57</v>
      </c>
      <c r="G36" s="26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84">
        <v>15058952</v>
      </c>
      <c r="E38" s="85">
        <f>IF(ISBLANK(D38),"-",$D$48/$D$45*D38)</f>
        <v>15379889.695026407</v>
      </c>
      <c r="F38" s="84">
        <v>13795716</v>
      </c>
      <c r="G38" s="86">
        <f>IF(ISBLANK(F38),"-",$D$48/$F$45*F38)</f>
        <v>14930000.707339035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15315310</v>
      </c>
      <c r="E39" s="90">
        <f>IF(ISBLANK(D39),"-",$D$48/$D$45*D39)</f>
        <v>15641711.219023401</v>
      </c>
      <c r="F39" s="89">
        <v>13788608</v>
      </c>
      <c r="G39" s="91">
        <f>IF(ISBLANK(F39),"-",$D$48/$F$45*F39)</f>
        <v>14922308.287095841</v>
      </c>
      <c r="I39" s="262">
        <f>ABS((F43/D43*D42)-F42)/D42</f>
        <v>2.2548734364398047E-2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14957677</v>
      </c>
      <c r="E40" s="90">
        <f>IF(ISBLANK(D40),"-",$D$48/$D$45*D40)</f>
        <v>15276456.313416334</v>
      </c>
      <c r="F40" s="89">
        <v>14174129</v>
      </c>
      <c r="G40" s="91">
        <f>IF(ISBLANK(F40),"-",$D$48/$F$45*F40)</f>
        <v>15339526.849923175</v>
      </c>
      <c r="I40" s="262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15110646.333333334</v>
      </c>
      <c r="E42" s="100">
        <f>AVERAGE(E38:E41)</f>
        <v>15432685.742488714</v>
      </c>
      <c r="F42" s="99">
        <f>AVERAGE(F38:F41)</f>
        <v>13919484.333333334</v>
      </c>
      <c r="G42" s="101">
        <f>AVERAGE(G38:G41)</f>
        <v>15063945.281452686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24.52</v>
      </c>
      <c r="E43" s="92"/>
      <c r="F43" s="104">
        <v>23.14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24.52</v>
      </c>
      <c r="E44" s="107"/>
      <c r="F44" s="106">
        <f>F43*$B$34</f>
        <v>23.14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50</v>
      </c>
      <c r="C45" s="105" t="s">
        <v>74</v>
      </c>
      <c r="D45" s="109">
        <f>D44*$B$30/100</f>
        <v>24.478316</v>
      </c>
      <c r="E45" s="110"/>
      <c r="F45" s="109">
        <f>F44*$B$30/100</f>
        <v>23.100662000000003</v>
      </c>
      <c r="H45" s="102"/>
    </row>
    <row r="46" spans="1:14" ht="19.5" customHeight="1" x14ac:dyDescent="0.3">
      <c r="A46" s="248" t="s">
        <v>75</v>
      </c>
      <c r="B46" s="249"/>
      <c r="C46" s="105" t="s">
        <v>76</v>
      </c>
      <c r="D46" s="111">
        <f>D45/$B$45</f>
        <v>0.48956632</v>
      </c>
      <c r="E46" s="112"/>
      <c r="F46" s="113">
        <f>F45/$B$45</f>
        <v>0.46201324000000005</v>
      </c>
      <c r="H46" s="102"/>
    </row>
    <row r="47" spans="1:14" ht="27" customHeight="1" x14ac:dyDescent="0.4">
      <c r="A47" s="250"/>
      <c r="B47" s="251"/>
      <c r="C47" s="114" t="s">
        <v>77</v>
      </c>
      <c r="D47" s="115">
        <v>0.5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15248315.511970699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1.8287307599186783E-2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tablets contains: Metronidazole BP 400 mg.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>Metronidazole 400 mg</v>
      </c>
      <c r="H56" s="131"/>
    </row>
    <row r="57" spans="1:12" ht="18.75" x14ac:dyDescent="0.3">
      <c r="A57" s="128" t="s">
        <v>85</v>
      </c>
      <c r="B57" s="199">
        <f>Uniformity!C46</f>
        <v>514.5870000000001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265" t="s">
        <v>91</v>
      </c>
      <c r="D60" s="268">
        <v>509.87</v>
      </c>
      <c r="E60" s="134">
        <v>1</v>
      </c>
      <c r="F60" s="135">
        <v>18784771</v>
      </c>
      <c r="G60" s="200">
        <f>IF(ISBLANK(F60),"-",(F60/$D$50*$D$47*$B$68)*($B$57/$D$60))</f>
        <v>414.44044531924652</v>
      </c>
      <c r="H60" s="218">
        <f t="shared" ref="H60:H71" si="0">IF(ISBLANK(F60),"-",(G60/$B$56)*100)</f>
        <v>103.61011132981164</v>
      </c>
      <c r="L60" s="64"/>
    </row>
    <row r="61" spans="1:12" s="3" customFormat="1" ht="26.25" customHeight="1" x14ac:dyDescent="0.4">
      <c r="A61" s="76" t="s">
        <v>92</v>
      </c>
      <c r="B61" s="77">
        <v>10</v>
      </c>
      <c r="C61" s="266"/>
      <c r="D61" s="269"/>
      <c r="E61" s="136">
        <v>2</v>
      </c>
      <c r="F61" s="89">
        <v>18900790</v>
      </c>
      <c r="G61" s="201">
        <f>IF(ISBLANK(F61),"-",(F61/$D$50*$D$47*$B$68)*($B$57/$D$60))</f>
        <v>417.00012337044518</v>
      </c>
      <c r="H61" s="219">
        <f t="shared" si="0"/>
        <v>104.25003084261128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266"/>
      <c r="D62" s="269"/>
      <c r="E62" s="136">
        <v>3</v>
      </c>
      <c r="F62" s="137">
        <v>18877944</v>
      </c>
      <c r="G62" s="201">
        <f>IF(ISBLANK(F62),"-",(F62/$D$50*$D$47*$B$68)*($B$57/$D$60))</f>
        <v>416.4960817500409</v>
      </c>
      <c r="H62" s="219">
        <f t="shared" si="0"/>
        <v>104.12402043751024</v>
      </c>
      <c r="L62" s="64"/>
    </row>
    <row r="63" spans="1:12" ht="27" customHeight="1" x14ac:dyDescent="0.4">
      <c r="A63" s="76" t="s">
        <v>94</v>
      </c>
      <c r="B63" s="77">
        <v>1</v>
      </c>
      <c r="C63" s="275"/>
      <c r="D63" s="27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265" t="s">
        <v>96</v>
      </c>
      <c r="D64" s="268">
        <v>516.42999999999995</v>
      </c>
      <c r="E64" s="134">
        <v>1</v>
      </c>
      <c r="F64" s="135">
        <v>19279420</v>
      </c>
      <c r="G64" s="200">
        <f>IF(ISBLANK(F64),"-",(F64/$D$50*$D$47*$B$68)*($B$57/$D$64))</f>
        <v>419.95058212128362</v>
      </c>
      <c r="H64" s="218">
        <f t="shared" si="0"/>
        <v>104.98764553032089</v>
      </c>
    </row>
    <row r="65" spans="1:8" ht="26.25" customHeight="1" x14ac:dyDescent="0.4">
      <c r="A65" s="76" t="s">
        <v>97</v>
      </c>
      <c r="B65" s="77">
        <v>1</v>
      </c>
      <c r="C65" s="266"/>
      <c r="D65" s="269"/>
      <c r="E65" s="136">
        <v>2</v>
      </c>
      <c r="F65" s="89">
        <v>19484921</v>
      </c>
      <c r="G65" s="201">
        <f>IF(ISBLANK(F65),"-",(F65/$D$50*$D$47*$B$68)*($B$57/$D$64))</f>
        <v>424.42687158312975</v>
      </c>
      <c r="H65" s="219">
        <f t="shared" si="0"/>
        <v>106.10671789578244</v>
      </c>
    </row>
    <row r="66" spans="1:8" ht="26.25" customHeight="1" x14ac:dyDescent="0.4">
      <c r="A66" s="76" t="s">
        <v>98</v>
      </c>
      <c r="B66" s="77">
        <v>1</v>
      </c>
      <c r="C66" s="266"/>
      <c r="D66" s="269"/>
      <c r="E66" s="136">
        <v>3</v>
      </c>
      <c r="F66" s="89">
        <v>19380912</v>
      </c>
      <c r="G66" s="201">
        <f>IF(ISBLANK(F66),"-",(F66/$D$50*$D$47*$B$68)*($B$57/$D$64))</f>
        <v>422.1613137968555</v>
      </c>
      <c r="H66" s="219">
        <f t="shared" si="0"/>
        <v>105.54032844921389</v>
      </c>
    </row>
    <row r="67" spans="1:8" ht="27" customHeight="1" x14ac:dyDescent="0.4">
      <c r="A67" s="76" t="s">
        <v>99</v>
      </c>
      <c r="B67" s="77">
        <v>1</v>
      </c>
      <c r="C67" s="275"/>
      <c r="D67" s="27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666.66666666666674</v>
      </c>
      <c r="C68" s="265" t="s">
        <v>101</v>
      </c>
      <c r="D68" s="268">
        <v>513.42999999999995</v>
      </c>
      <c r="E68" s="134">
        <v>1</v>
      </c>
      <c r="F68" s="135">
        <v>18854924</v>
      </c>
      <c r="G68" s="200">
        <f>IF(ISBLANK(F68),"-",(F68/$D$50*$D$47*$B$68)*($B$57/$D$68))</f>
        <v>413.10383921259699</v>
      </c>
      <c r="H68" s="219">
        <f t="shared" si="0"/>
        <v>103.27595980314925</v>
      </c>
    </row>
    <row r="69" spans="1:8" ht="27" customHeight="1" x14ac:dyDescent="0.4">
      <c r="A69" s="124" t="s">
        <v>102</v>
      </c>
      <c r="B69" s="141">
        <f>(D47*B68)/B56*B57</f>
        <v>428.82250000000016</v>
      </c>
      <c r="C69" s="266"/>
      <c r="D69" s="269"/>
      <c r="E69" s="136">
        <v>2</v>
      </c>
      <c r="F69" s="89">
        <v>18936702</v>
      </c>
      <c r="G69" s="201">
        <f>IF(ISBLANK(F69),"-",(F69/$D$50*$D$47*$B$68)*($B$57/$D$68))</f>
        <v>414.89556246553229</v>
      </c>
      <c r="H69" s="219">
        <f t="shared" si="0"/>
        <v>103.72389061638307</v>
      </c>
    </row>
    <row r="70" spans="1:8" ht="26.25" customHeight="1" x14ac:dyDescent="0.4">
      <c r="A70" s="271" t="s">
        <v>75</v>
      </c>
      <c r="B70" s="272"/>
      <c r="C70" s="266"/>
      <c r="D70" s="269"/>
      <c r="E70" s="136">
        <v>3</v>
      </c>
      <c r="F70" s="89">
        <v>18889824</v>
      </c>
      <c r="G70" s="201">
        <f>IF(ISBLANK(F70),"-",(F70/$D$50*$D$47*$B$68)*($B$57/$D$68))</f>
        <v>413.86848424582644</v>
      </c>
      <c r="H70" s="219">
        <f t="shared" si="0"/>
        <v>103.46712106145661</v>
      </c>
    </row>
    <row r="71" spans="1:8" ht="27" customHeight="1" x14ac:dyDescent="0.4">
      <c r="A71" s="273"/>
      <c r="B71" s="274"/>
      <c r="C71" s="267"/>
      <c r="D71" s="27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417.37147820721748</v>
      </c>
      <c r="H72" s="221">
        <f>AVERAGE(H60:H71)</f>
        <v>104.34286955180437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9.489051891066606E-3</v>
      </c>
      <c r="H73" s="205">
        <f>STDEV(H60:H71)/H72</f>
        <v>9.4890518910666008E-3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252" t="str">
        <f>B26</f>
        <v>metronidazole</v>
      </c>
      <c r="D76" s="252"/>
      <c r="E76" s="150" t="s">
        <v>105</v>
      </c>
      <c r="F76" s="150"/>
      <c r="G76" s="234">
        <f>H72</f>
        <v>104.34286955180437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6" t="str">
        <f>B26</f>
        <v>metronidazole</v>
      </c>
      <c r="C79" s="286"/>
    </row>
    <row r="80" spans="1:8" ht="26.25" customHeight="1" x14ac:dyDescent="0.4">
      <c r="A80" s="61" t="s">
        <v>45</v>
      </c>
      <c r="B80" s="286" t="str">
        <f>B27</f>
        <v>m2-4</v>
      </c>
      <c r="C80" s="286"/>
    </row>
    <row r="81" spans="1:12" ht="27" customHeight="1" x14ac:dyDescent="0.4">
      <c r="A81" s="61" t="s">
        <v>6</v>
      </c>
      <c r="B81" s="153">
        <f>B28</f>
        <v>99.83</v>
      </c>
    </row>
    <row r="82" spans="1:12" s="3" customFormat="1" ht="27" customHeight="1" x14ac:dyDescent="0.4">
      <c r="A82" s="61" t="s">
        <v>46</v>
      </c>
      <c r="B82" s="63">
        <v>0</v>
      </c>
      <c r="C82" s="254" t="s">
        <v>47</v>
      </c>
      <c r="D82" s="255"/>
      <c r="E82" s="255"/>
      <c r="F82" s="255"/>
      <c r="G82" s="256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99.83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257" t="s">
        <v>108</v>
      </c>
      <c r="D84" s="258"/>
      <c r="E84" s="258"/>
      <c r="F84" s="258"/>
      <c r="G84" s="258"/>
      <c r="H84" s="259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257" t="s">
        <v>109</v>
      </c>
      <c r="D85" s="258"/>
      <c r="E85" s="258"/>
      <c r="F85" s="258"/>
      <c r="G85" s="258"/>
      <c r="H85" s="25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54" t="s">
        <v>56</v>
      </c>
      <c r="E89" s="155"/>
      <c r="F89" s="260" t="s">
        <v>57</v>
      </c>
      <c r="G89" s="261"/>
    </row>
    <row r="90" spans="1:12" ht="27" customHeight="1" x14ac:dyDescent="0.4">
      <c r="A90" s="76" t="s">
        <v>58</v>
      </c>
      <c r="B90" s="77">
        <v>2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58">
        <v>1</v>
      </c>
      <c r="D91" s="84">
        <v>0.42899999999999999</v>
      </c>
      <c r="E91" s="85">
        <f>IF(ISBLANK(D91),"-",$D$101/$D$98*D91)</f>
        <v>0.38946034250613204</v>
      </c>
      <c r="F91" s="84">
        <v>0.41699999999999998</v>
      </c>
      <c r="G91" s="86">
        <f>IF(ISBLANK(F91),"-",$D$101/$F$98*F91)</f>
        <v>0.4011429051975508</v>
      </c>
      <c r="I91" s="87"/>
    </row>
    <row r="92" spans="1:12" ht="26.25" customHeight="1" x14ac:dyDescent="0.4">
      <c r="A92" s="76" t="s">
        <v>64</v>
      </c>
      <c r="B92" s="77">
        <v>5</v>
      </c>
      <c r="C92" s="143">
        <v>2</v>
      </c>
      <c r="D92" s="89">
        <v>0.44500000000000001</v>
      </c>
      <c r="E92" s="90">
        <f>IF(ISBLANK(D92),"-",$D$101/$D$98*D92)</f>
        <v>0.40398566996556823</v>
      </c>
      <c r="F92" s="89">
        <v>0.42</v>
      </c>
      <c r="G92" s="91">
        <f>IF(ISBLANK(F92),"-",$D$101/$F$98*F92)</f>
        <v>0.40402882537882817</v>
      </c>
      <c r="I92" s="262">
        <f>ABS((F96/D96*D95)-F95)/D95</f>
        <v>8.5171301111747876E-3</v>
      </c>
    </row>
    <row r="93" spans="1:12" ht="26.25" customHeight="1" x14ac:dyDescent="0.4">
      <c r="A93" s="76" t="s">
        <v>65</v>
      </c>
      <c r="B93" s="77">
        <v>50</v>
      </c>
      <c r="C93" s="143">
        <v>3</v>
      </c>
      <c r="D93" s="89">
        <v>0.44500000000000001</v>
      </c>
      <c r="E93" s="90">
        <f>IF(ISBLANK(D93),"-",$D$101/$D$98*D93)</f>
        <v>0.40398566996556823</v>
      </c>
      <c r="F93" s="89">
        <v>0.41899999999999998</v>
      </c>
      <c r="G93" s="91">
        <f>IF(ISBLANK(F93),"-",$D$101/$F$98*F93)</f>
        <v>0.40306685198506903</v>
      </c>
      <c r="I93" s="262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0.43966666666666665</v>
      </c>
      <c r="E95" s="100">
        <f>AVERAGE(E91:E94)</f>
        <v>0.39914389414575613</v>
      </c>
      <c r="F95" s="163">
        <f>AVERAGE(F91:F94)</f>
        <v>0.41866666666666669</v>
      </c>
      <c r="G95" s="164">
        <f>AVERAGE(G91:G94)</f>
        <v>0.40274619418714935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24.52</v>
      </c>
      <c r="E96" s="92"/>
      <c r="F96" s="104">
        <v>23.14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24.52</v>
      </c>
      <c r="E97" s="107"/>
      <c r="F97" s="106">
        <f>F96*$B$87</f>
        <v>23.14</v>
      </c>
    </row>
    <row r="98" spans="1:10" ht="19.5" customHeight="1" x14ac:dyDescent="0.3">
      <c r="A98" s="76" t="s">
        <v>73</v>
      </c>
      <c r="B98" s="169">
        <f>(B97/B96)*(B95/B94)*(B93/B92)*(B91/B90)*B89</f>
        <v>2500</v>
      </c>
      <c r="C98" s="167" t="s">
        <v>112</v>
      </c>
      <c r="D98" s="170">
        <f>D97*$B$83/100</f>
        <v>24.478316</v>
      </c>
      <c r="E98" s="110"/>
      <c r="F98" s="109">
        <f>F97*$B$83/100</f>
        <v>23.100662000000003</v>
      </c>
    </row>
    <row r="99" spans="1:10" ht="19.5" customHeight="1" x14ac:dyDescent="0.3">
      <c r="A99" s="248" t="s">
        <v>75</v>
      </c>
      <c r="B99" s="263"/>
      <c r="C99" s="167" t="s">
        <v>113</v>
      </c>
      <c r="D99" s="171">
        <f>D98/$B$98</f>
        <v>9.7913263999999996E-3</v>
      </c>
      <c r="E99" s="110"/>
      <c r="F99" s="113">
        <f>F98/$B$98</f>
        <v>9.2402648000000018E-3</v>
      </c>
      <c r="G99" s="172"/>
      <c r="H99" s="102"/>
    </row>
    <row r="100" spans="1:10" ht="19.5" customHeight="1" x14ac:dyDescent="0.3">
      <c r="A100" s="250"/>
      <c r="B100" s="264"/>
      <c r="C100" s="167" t="s">
        <v>77</v>
      </c>
      <c r="D100" s="173">
        <f>$B$56/$B$116</f>
        <v>8.8888888888888889E-3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0.40094504416645277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1.4303226729978965E-2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5</v>
      </c>
      <c r="C108" s="225">
        <v>1</v>
      </c>
      <c r="D108" s="235">
        <v>0.41499999999999998</v>
      </c>
      <c r="E108" s="202">
        <f t="shared" ref="E108:E113" si="1">IF(ISBLANK(D108),"-",D108/$D$103*$D$100*$B$116)</f>
        <v>414.02182771732907</v>
      </c>
      <c r="F108" s="226">
        <f t="shared" ref="F108:F113" si="2">IF(ISBLANK(D108), "-", (E108/$B$56)*100)</f>
        <v>103.50545692933227</v>
      </c>
    </row>
    <row r="109" spans="1:10" ht="26.25" customHeight="1" x14ac:dyDescent="0.4">
      <c r="A109" s="76" t="s">
        <v>92</v>
      </c>
      <c r="B109" s="77">
        <v>20</v>
      </c>
      <c r="C109" s="223">
        <v>2</v>
      </c>
      <c r="D109" s="236">
        <v>0.41599999999999998</v>
      </c>
      <c r="E109" s="203">
        <f t="shared" si="1"/>
        <v>415.01947067568409</v>
      </c>
      <c r="F109" s="227">
        <f t="shared" si="2"/>
        <v>103.75486766892101</v>
      </c>
    </row>
    <row r="110" spans="1:10" ht="26.25" customHeight="1" x14ac:dyDescent="0.4">
      <c r="A110" s="76" t="s">
        <v>93</v>
      </c>
      <c r="B110" s="77">
        <v>4</v>
      </c>
      <c r="C110" s="223">
        <v>3</v>
      </c>
      <c r="D110" s="236">
        <v>0.41099999999999998</v>
      </c>
      <c r="E110" s="203">
        <f t="shared" si="1"/>
        <v>410.03125588390907</v>
      </c>
      <c r="F110" s="227">
        <f t="shared" si="2"/>
        <v>102.50781397097725</v>
      </c>
    </row>
    <row r="111" spans="1:10" ht="26.25" customHeight="1" x14ac:dyDescent="0.4">
      <c r="A111" s="76" t="s">
        <v>94</v>
      </c>
      <c r="B111" s="77">
        <v>50</v>
      </c>
      <c r="C111" s="223">
        <v>4</v>
      </c>
      <c r="D111" s="236">
        <v>0.39800000000000002</v>
      </c>
      <c r="E111" s="203">
        <f t="shared" si="1"/>
        <v>397.06189742529386</v>
      </c>
      <c r="F111" s="227">
        <f t="shared" si="2"/>
        <v>99.265474356323466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36">
        <v>0.41499999999999998</v>
      </c>
      <c r="E112" s="203">
        <f t="shared" si="1"/>
        <v>414.02182771732907</v>
      </c>
      <c r="F112" s="227">
        <f t="shared" si="2"/>
        <v>103.50545692933227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37">
        <v>0.41499999999999998</v>
      </c>
      <c r="E113" s="204">
        <f t="shared" si="1"/>
        <v>414.02182771732907</v>
      </c>
      <c r="F113" s="228">
        <f t="shared" si="2"/>
        <v>103.50545692933227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29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410.696351189479</v>
      </c>
      <c r="F115" s="230">
        <f>AVERAGE(F108:F113)</f>
        <v>102.67408779736975</v>
      </c>
    </row>
    <row r="116" spans="1:10" ht="27" customHeight="1" x14ac:dyDescent="0.4">
      <c r="A116" s="76" t="s">
        <v>100</v>
      </c>
      <c r="B116" s="108">
        <f>(B115/B114)*(B113/B112)*(B111/B110)*(B109/B108)*B107</f>
        <v>45000</v>
      </c>
      <c r="C116" s="186"/>
      <c r="D116" s="210" t="s">
        <v>81</v>
      </c>
      <c r="E116" s="208">
        <f>STDEV(E108:E113)/E115</f>
        <v>1.6806252714648928E-2</v>
      </c>
      <c r="F116" s="187">
        <f>STDEV(F108:F113)/F115</f>
        <v>1.6806252714648914E-2</v>
      </c>
      <c r="I116" s="50"/>
    </row>
    <row r="117" spans="1:10" ht="27" customHeight="1" x14ac:dyDescent="0.4">
      <c r="A117" s="248" t="s">
        <v>75</v>
      </c>
      <c r="B117" s="24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250"/>
      <c r="B118" s="251"/>
      <c r="C118" s="50"/>
      <c r="D118" s="212"/>
      <c r="E118" s="276" t="s">
        <v>120</v>
      </c>
      <c r="F118" s="27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397.06189742529386</v>
      </c>
      <c r="F119" s="231">
        <f>MIN(F108:F113)</f>
        <v>99.265474356323466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415.01947067568409</v>
      </c>
      <c r="F120" s="232">
        <f>MAX(F108:F113)</f>
        <v>103.75486766892101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252" t="str">
        <f>B26</f>
        <v>metronidazole</v>
      </c>
      <c r="D124" s="252"/>
      <c r="E124" s="150" t="s">
        <v>124</v>
      </c>
      <c r="F124" s="150"/>
      <c r="G124" s="233">
        <f>F115</f>
        <v>102.67408779736975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3">
        <f>MIN(F108:F113)</f>
        <v>99.265474356323466</v>
      </c>
      <c r="E125" s="161" t="s">
        <v>127</v>
      </c>
      <c r="F125" s="233">
        <f>MAX(F108:F113)</f>
        <v>103.75486766892101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53" t="s">
        <v>23</v>
      </c>
      <c r="C127" s="253"/>
      <c r="E127" s="156" t="s">
        <v>24</v>
      </c>
      <c r="F127" s="191"/>
      <c r="G127" s="253" t="s">
        <v>25</v>
      </c>
      <c r="H127" s="253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2017-11-16T06:08:06Z</cp:lastPrinted>
  <dcterms:created xsi:type="dcterms:W3CDTF">2005-07-05T10:19:27Z</dcterms:created>
  <dcterms:modified xsi:type="dcterms:W3CDTF">2017-11-16T06:18:40Z</dcterms:modified>
</cp:coreProperties>
</file>