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Feb\"/>
    </mc:Choice>
  </mc:AlternateContent>
  <bookViews>
    <workbookView xWindow="0" yWindow="0" windowWidth="20490" windowHeight="7650" activeTab="4"/>
  </bookViews>
  <sheets>
    <sheet name="SST EFFAVIRENZ" sheetId="1" r:id="rId1"/>
    <sheet name="Uniformity" sheetId="2" r:id="rId2"/>
    <sheet name="Lamivudine" sheetId="3" r:id="rId3"/>
    <sheet name="Tenofovir Disoproxil Fumurate" sheetId="4" r:id="rId4"/>
    <sheet name="EFAVIRENZ" sheetId="5" r:id="rId5"/>
    <sheet name="SST TDF" sheetId="6" r:id="rId6"/>
    <sheet name="SST LAMIVUDINE" sheetId="7" r:id="rId7"/>
  </sheets>
  <definedNames>
    <definedName name="_xlnm.Print_Area" localSheetId="2">Lamivudine!$A$1:$H$129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42" i="7" l="1"/>
  <c r="B42" i="6"/>
  <c r="B42" i="1"/>
  <c r="D68" i="5"/>
  <c r="D64" i="4"/>
  <c r="D68" i="4"/>
  <c r="D60" i="4"/>
  <c r="E30" i="7"/>
  <c r="B53" i="7"/>
  <c r="E51" i="7"/>
  <c r="D51" i="7"/>
  <c r="C51" i="7"/>
  <c r="B51" i="7"/>
  <c r="B52" i="7" s="1"/>
  <c r="B32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21" i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B69" i="5" s="1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5" s="1"/>
  <c r="C45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D101" i="5"/>
  <c r="D102" i="5" s="1"/>
  <c r="D101" i="4"/>
  <c r="D102" i="4" s="1"/>
  <c r="I92" i="4"/>
  <c r="I92" i="3"/>
  <c r="D101" i="3"/>
  <c r="D102" i="3" s="1"/>
  <c r="I39" i="5"/>
  <c r="F45" i="5"/>
  <c r="F46" i="5" s="1"/>
  <c r="I39" i="4"/>
  <c r="D45" i="4"/>
  <c r="D46" i="4" s="1"/>
  <c r="I39" i="3"/>
  <c r="F45" i="3"/>
  <c r="F46" i="3" s="1"/>
  <c r="D49" i="3"/>
  <c r="F98" i="3"/>
  <c r="F99" i="3" s="1"/>
  <c r="D49" i="4"/>
  <c r="E41" i="4"/>
  <c r="F98" i="4"/>
  <c r="D49" i="5"/>
  <c r="F98" i="5"/>
  <c r="F99" i="5" s="1"/>
  <c r="C50" i="2"/>
  <c r="D97" i="3"/>
  <c r="D98" i="3" s="1"/>
  <c r="D99" i="3" s="1"/>
  <c r="F44" i="4"/>
  <c r="F45" i="4" s="1"/>
  <c r="F46" i="4" s="1"/>
  <c r="D97" i="5"/>
  <c r="D98" i="5" s="1"/>
  <c r="D99" i="5" s="1"/>
  <c r="D34" i="2"/>
  <c r="D38" i="2"/>
  <c r="D42" i="2"/>
  <c r="B49" i="2"/>
  <c r="D50" i="2"/>
  <c r="D44" i="3"/>
  <c r="D45" i="3" s="1"/>
  <c r="D46" i="3" s="1"/>
  <c r="B57" i="4"/>
  <c r="B69" i="4" s="1"/>
  <c r="D44" i="5"/>
  <c r="D45" i="5" s="1"/>
  <c r="D46" i="5" s="1"/>
  <c r="D39" i="2"/>
  <c r="D43" i="2"/>
  <c r="C49" i="2"/>
  <c r="D97" i="4"/>
  <c r="D98" i="4" s="1"/>
  <c r="E94" i="4" s="1"/>
  <c r="D49" i="2"/>
  <c r="B57" i="3"/>
  <c r="B69" i="3" s="1"/>
  <c r="E39" i="4" l="1"/>
  <c r="G93" i="5"/>
  <c r="G93" i="4"/>
  <c r="G93" i="3"/>
  <c r="G38" i="5"/>
  <c r="G40" i="5"/>
  <c r="G41" i="5"/>
  <c r="G39" i="5"/>
  <c r="E38" i="4"/>
  <c r="E40" i="4"/>
  <c r="G40" i="3"/>
  <c r="G92" i="3"/>
  <c r="G41" i="3"/>
  <c r="G39" i="3"/>
  <c r="E91" i="3"/>
  <c r="G38" i="3"/>
  <c r="E39" i="5"/>
  <c r="G91" i="4"/>
  <c r="G94" i="4"/>
  <c r="F99" i="4"/>
  <c r="G92" i="4"/>
  <c r="E92" i="3"/>
  <c r="E94" i="3"/>
  <c r="E40" i="3"/>
  <c r="E92" i="5"/>
  <c r="E94" i="5"/>
  <c r="E38" i="3"/>
  <c r="E41" i="3"/>
  <c r="E91" i="5"/>
  <c r="E40" i="5"/>
  <c r="G40" i="4"/>
  <c r="G41" i="4"/>
  <c r="G91" i="3"/>
  <c r="G94" i="3"/>
  <c r="E39" i="3"/>
  <c r="G91" i="5"/>
  <c r="G94" i="5"/>
  <c r="D99" i="4"/>
  <c r="E92" i="4"/>
  <c r="E93" i="4"/>
  <c r="E91" i="4"/>
  <c r="E38" i="5"/>
  <c r="E41" i="5"/>
  <c r="G39" i="4"/>
  <c r="G38" i="4"/>
  <c r="E93" i="3"/>
  <c r="E93" i="5"/>
  <c r="G92" i="5"/>
  <c r="G95" i="3" l="1"/>
  <c r="E95" i="3"/>
  <c r="G42" i="5"/>
  <c r="G95" i="5"/>
  <c r="E42" i="4"/>
  <c r="G95" i="4"/>
  <c r="G42" i="4"/>
  <c r="D50" i="4"/>
  <c r="G66" i="4" s="1"/>
  <c r="H66" i="4" s="1"/>
  <c r="D103" i="3"/>
  <c r="E111" i="3" s="1"/>
  <c r="F111" i="3" s="1"/>
  <c r="G42" i="3"/>
  <c r="D105" i="3"/>
  <c r="D50" i="5"/>
  <c r="E42" i="5"/>
  <c r="D52" i="5"/>
  <c r="E95" i="4"/>
  <c r="D105" i="4"/>
  <c r="D103" i="4"/>
  <c r="D103" i="5"/>
  <c r="E95" i="5"/>
  <c r="D105" i="5"/>
  <c r="D52" i="4"/>
  <c r="D50" i="3"/>
  <c r="E42" i="3"/>
  <c r="D52" i="3"/>
  <c r="E112" i="3" l="1"/>
  <c r="F112" i="3" s="1"/>
  <c r="D104" i="3"/>
  <c r="E109" i="3"/>
  <c r="F109" i="3" s="1"/>
  <c r="E108" i="3"/>
  <c r="E113" i="3"/>
  <c r="F113" i="3" s="1"/>
  <c r="G62" i="4"/>
  <c r="H62" i="4" s="1"/>
  <c r="G71" i="4"/>
  <c r="H71" i="4" s="1"/>
  <c r="G67" i="4"/>
  <c r="H67" i="4" s="1"/>
  <c r="G70" i="4"/>
  <c r="H70" i="4" s="1"/>
  <c r="G68" i="4"/>
  <c r="H68" i="4" s="1"/>
  <c r="G65" i="4"/>
  <c r="H65" i="4" s="1"/>
  <c r="G60" i="4"/>
  <c r="H60" i="4" s="1"/>
  <c r="G69" i="4"/>
  <c r="H69" i="4" s="1"/>
  <c r="G61" i="4"/>
  <c r="H61" i="4" s="1"/>
  <c r="G64" i="4"/>
  <c r="H64" i="4" s="1"/>
  <c r="G63" i="4"/>
  <c r="H63" i="4" s="1"/>
  <c r="D51" i="4"/>
  <c r="E110" i="3"/>
  <c r="F110" i="3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E120" i="3" l="1"/>
  <c r="F108" i="3"/>
  <c r="F117" i="3" s="1"/>
  <c r="E119" i="3"/>
  <c r="G72" i="4"/>
  <c r="G73" i="4" s="1"/>
  <c r="G74" i="4"/>
  <c r="E115" i="3"/>
  <c r="E116" i="3" s="1"/>
  <c r="E117" i="3"/>
  <c r="G74" i="5"/>
  <c r="G72" i="5"/>
  <c r="G73" i="5" s="1"/>
  <c r="H60" i="5"/>
  <c r="G74" i="3"/>
  <c r="G72" i="3"/>
  <c r="G73" i="3" s="1"/>
  <c r="H60" i="3"/>
  <c r="E115" i="4"/>
  <c r="E116" i="4" s="1"/>
  <c r="E119" i="4"/>
  <c r="E120" i="4"/>
  <c r="E117" i="4"/>
  <c r="F108" i="4"/>
  <c r="E120" i="5"/>
  <c r="E117" i="5"/>
  <c r="F108" i="5"/>
  <c r="E115" i="5"/>
  <c r="E116" i="5" s="1"/>
  <c r="E119" i="5"/>
  <c r="H74" i="4"/>
  <c r="H72" i="4"/>
  <c r="F125" i="3" l="1"/>
  <c r="F119" i="3"/>
  <c r="F115" i="3"/>
  <c r="G124" i="3" s="1"/>
  <c r="D125" i="3"/>
  <c r="F120" i="3"/>
  <c r="G76" i="4"/>
  <c r="H73" i="4"/>
  <c r="F125" i="5"/>
  <c r="F120" i="5"/>
  <c r="F117" i="5"/>
  <c r="D125" i="5"/>
  <c r="F115" i="5"/>
  <c r="F119" i="5"/>
  <c r="F119" i="4"/>
  <c r="F125" i="4"/>
  <c r="F120" i="4"/>
  <c r="F117" i="4"/>
  <c r="D125" i="4"/>
  <c r="F115" i="4"/>
  <c r="H74" i="5"/>
  <c r="H72" i="5"/>
  <c r="H74" i="3"/>
  <c r="H72" i="3"/>
  <c r="F116" i="3" l="1"/>
  <c r="G76" i="3"/>
  <c r="H73" i="3"/>
  <c r="G124" i="4"/>
  <c r="F116" i="4"/>
  <c r="G124" i="5"/>
  <c r="F116" i="5"/>
  <c r="G76" i="5"/>
  <c r="H73" i="5"/>
</calcChain>
</file>

<file path=xl/sharedStrings.xml><?xml version="1.0" encoding="utf-8"?>
<sst xmlns="http://schemas.openxmlformats.org/spreadsheetml/2006/main" count="665" uniqueCount="137">
  <si>
    <t>HPLC System Suitability Report</t>
  </si>
  <si>
    <t>Analysis Data</t>
  </si>
  <si>
    <t>Assay</t>
  </si>
  <si>
    <t>Sample(s)</t>
  </si>
  <si>
    <t>Reference Substance:</t>
  </si>
  <si>
    <t>EFAVIRENZ 600 mg, LAMIVUDINE 300 mg AND TENOFOVIR DISOPROXIL FUMARATE 300 mg TABLETS</t>
  </si>
  <si>
    <t>% age Purity:</t>
  </si>
  <si>
    <t>NDQB201801296</t>
  </si>
  <si>
    <t>Weight (mg):</t>
  </si>
  <si>
    <t>Efavirenz 600mg, Lamivudine 300mg and Tenofovir Disoproxil Fumarate 300mg Tablets</t>
  </si>
  <si>
    <t>Standard Conc (mg/mL):</t>
  </si>
  <si>
    <t>Each film-coated tablet contains Efavirenz 600 mg, Lamivudine USP 300 mg, Tenofovir Disoproxil Fumarate 300 mg equivalent to 245 mg Tenofovir disoproxil.</t>
  </si>
  <si>
    <t>2018-01-24 08:19:19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</si>
  <si>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</si>
  <si>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</si>
  <si>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</si>
  <si>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</si>
  <si>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</si>
  <si>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</si>
  <si>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</si>
  <si>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</si>
  <si>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</si>
  <si>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</si>
  <si>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</si>
  <si>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</si>
  <si>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</si>
  <si>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</si>
  <si>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</si>
  <si>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</si>
  <si>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</si>
  <si>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</si>
  <si>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</si>
  <si>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</si>
  <si>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</si>
  <si>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</si>
  <si>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</si>
  <si>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</si>
  <si>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</si>
  <si>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</si>
  <si>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</si>
  <si>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</si>
  <si>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</si>
  <si>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</si>
  <si>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</si>
  <si>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</si>
  <si>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</si>
  <si>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</si>
  <si>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</si>
  <si>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</si>
  <si>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</si>
  <si>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</si>
  <si>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</si>
  <si>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</si>
  <si>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</si>
  <si>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</si>
  <si>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</si>
  <si>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</si>
  <si>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</si>
  <si>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</si>
  <si>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</si>
  <si>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</si>
  <si>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</si>
  <si>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</si>
  <si>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</si>
  <si>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</si>
  <si>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</si>
  <si>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</si>
  <si>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</si>
  <si>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</si>
  <si>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</si>
  <si>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</si>
  <si>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</si>
  <si>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</si>
  <si>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</si>
  <si>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</si>
  <si>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</si>
  <si>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</si>
  <si>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</si>
  <si>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</si>
  <si>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</si>
  <si>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</si>
  <si>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</si>
  <si>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</si>
  <si>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</si>
  <si>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</si>
  <si>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</si>
  <si>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</si>
  <si>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</si>
  <si>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</si>
  <si>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</si>
  <si>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</si>
  <si>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</si>
  <si>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</si>
  <si>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</si>
  <si>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</si>
  <si>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</si>
  <si>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</si>
  <si>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</si>
  <si>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</si>
  <si>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</si>
  <si>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</si>
  <si>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</si>
  <si>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</si>
  <si>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</si>
  <si>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</si>
  <si>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</si>
  <si>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</si>
  <si>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</si>
  <si>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</si>
  <si>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</si>
  <si>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</si>
  <si>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</si>
  <si>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</si>
  <si>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</si>
  <si>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</si>
  <si>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</si>
  <si>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</si>
  <si>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</si>
  <si>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</si>
  <si>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</si>
  <si>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</si>
  <si>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</si>
  <si>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</si>
  <si>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</si>
  <si>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</si>
  <si>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</si>
  <si>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</si>
  <si>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</si>
  <si>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</si>
  <si>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</si>
  <si>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</si>
  <si>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EFFAVIRENZ</t>
  </si>
  <si>
    <t>TENOFOVIR DISOPROXIL FUMURATE</t>
  </si>
  <si>
    <t>LAMIVUDINE</t>
  </si>
  <si>
    <t>L3-10</t>
  </si>
  <si>
    <t>T11-10</t>
  </si>
  <si>
    <t>E15-6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</si>
</sst>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4" fontId="20" fillId="2" borderId="0" xfId="0" applyNumberFormat="1" applyFont="1" applyFill="1" applyAlignment="1">
      <alignment horizontal="center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zoomScale="75" zoomScaleNormal="75" workbookViewId="0">
      <selection activeCell="C30" sqref="C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3" t="s">
        <v>0</v>
      </c>
      <c r="B15" s="663"/>
      <c r="C15" s="663"/>
      <c r="D15" s="663"/>
      <c r="E15" s="6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23.14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0.23139999999999999</v>
      </c>
      <c r="C21" s="10"/>
      <c r="D21" s="10"/>
      <c r="E21" s="10"/>
    </row>
    <row r="22" spans="1:6" ht="15.75" customHeight="1" x14ac:dyDescent="0.25">
      <c r="A22" s="10"/>
      <c r="B22" s="662">
        <v>43102.346747685187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5188990</v>
      </c>
      <c r="C24" s="18">
        <v>545171</v>
      </c>
      <c r="D24" s="19">
        <v>1</v>
      </c>
      <c r="E24" s="20">
        <v>25.4</v>
      </c>
    </row>
    <row r="25" spans="1:6" ht="16.5" customHeight="1" x14ac:dyDescent="0.3">
      <c r="A25" s="17">
        <v>2</v>
      </c>
      <c r="B25" s="18">
        <v>5226463</v>
      </c>
      <c r="C25" s="18">
        <v>543273.1</v>
      </c>
      <c r="D25" s="19">
        <v>1</v>
      </c>
      <c r="E25" s="19">
        <v>25.4</v>
      </c>
    </row>
    <row r="26" spans="1:6" ht="16.5" customHeight="1" x14ac:dyDescent="0.3">
      <c r="A26" s="17">
        <v>3</v>
      </c>
      <c r="B26" s="18">
        <v>5220201</v>
      </c>
      <c r="C26" s="18">
        <v>548635.5</v>
      </c>
      <c r="D26" s="19">
        <v>1</v>
      </c>
      <c r="E26" s="19">
        <v>25.4</v>
      </c>
    </row>
    <row r="27" spans="1:6" ht="16.5" customHeight="1" x14ac:dyDescent="0.3">
      <c r="A27" s="17">
        <v>4</v>
      </c>
      <c r="B27" s="18">
        <v>5192543</v>
      </c>
      <c r="C27" s="18">
        <v>568289.6</v>
      </c>
      <c r="D27" s="19">
        <v>1</v>
      </c>
      <c r="E27" s="19">
        <v>25.4</v>
      </c>
    </row>
    <row r="28" spans="1:6" ht="16.5" customHeight="1" x14ac:dyDescent="0.3">
      <c r="A28" s="17">
        <v>5</v>
      </c>
      <c r="B28" s="18">
        <v>5207995</v>
      </c>
      <c r="C28" s="18">
        <v>570153.6</v>
      </c>
      <c r="D28" s="19">
        <v>1</v>
      </c>
      <c r="E28" s="19">
        <v>25.4</v>
      </c>
    </row>
    <row r="29" spans="1:6" ht="16.5" customHeight="1" x14ac:dyDescent="0.3">
      <c r="A29" s="17">
        <v>6</v>
      </c>
      <c r="B29" s="21">
        <v>5205513</v>
      </c>
      <c r="C29" s="21">
        <v>571702.30000000005</v>
      </c>
      <c r="D29" s="22">
        <v>1</v>
      </c>
      <c r="E29" s="22">
        <v>25.4</v>
      </c>
    </row>
    <row r="30" spans="1:6" ht="16.5" customHeight="1" x14ac:dyDescent="0.3">
      <c r="A30" s="23" t="s">
        <v>18</v>
      </c>
      <c r="B30" s="24">
        <f>AVERAGE(B24:B29)</f>
        <v>5206950.833333333</v>
      </c>
      <c r="C30" s="25">
        <f>AVERAGE(C24:C29)</f>
        <v>557870.85000000009</v>
      </c>
      <c r="D30" s="26">
        <f>AVERAGE(D24:D29)</f>
        <v>1</v>
      </c>
      <c r="E30" s="26">
        <f>AVERAGE(E24:E29)</f>
        <v>25.400000000000002</v>
      </c>
    </row>
    <row r="31" spans="1:6" ht="16.5" customHeight="1" x14ac:dyDescent="0.3">
      <c r="A31" s="27" t="s">
        <v>19</v>
      </c>
      <c r="B31" s="28">
        <f>(STDEV(B24:B29)/B30)</f>
        <v>2.8351127247497137E-3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97.21</v>
      </c>
      <c r="C40" s="10"/>
      <c r="D40" s="10"/>
      <c r="E40" s="10"/>
    </row>
    <row r="41" spans="1:6" ht="16.5" customHeight="1" x14ac:dyDescent="0.3">
      <c r="A41" s="7" t="s">
        <v>8</v>
      </c>
      <c r="B41" s="12">
        <v>28.06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0.56119999999999992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>
        <v>11563</v>
      </c>
      <c r="D45" s="19">
        <v>1.1000000000000001</v>
      </c>
      <c r="E45" s="20">
        <v>13.65</v>
      </c>
    </row>
    <row r="46" spans="1:6" ht="16.5" customHeight="1" x14ac:dyDescent="0.3">
      <c r="A46" s="17">
        <v>2</v>
      </c>
      <c r="B46" s="18">
        <v>3219796</v>
      </c>
      <c r="C46" s="18">
        <v>11505</v>
      </c>
      <c r="D46" s="19">
        <v>1.1000000000000001</v>
      </c>
      <c r="E46" s="19">
        <v>13.63</v>
      </c>
    </row>
    <row r="47" spans="1:6" ht="16.5" customHeight="1" x14ac:dyDescent="0.3">
      <c r="A47" s="17">
        <v>3</v>
      </c>
      <c r="B47" s="18">
        <v>3222099</v>
      </c>
      <c r="C47" s="18">
        <v>11697</v>
      </c>
      <c r="D47" s="19">
        <v>1.1000000000000001</v>
      </c>
      <c r="E47" s="19">
        <v>13.61</v>
      </c>
    </row>
    <row r="48" spans="1:6" ht="16.5" customHeight="1" x14ac:dyDescent="0.3">
      <c r="A48" s="17">
        <v>4</v>
      </c>
      <c r="B48" s="18">
        <v>3219287</v>
      </c>
      <c r="C48" s="18">
        <v>11618</v>
      </c>
      <c r="D48" s="19">
        <v>1.1000000000000001</v>
      </c>
      <c r="E48" s="19">
        <v>13.61</v>
      </c>
    </row>
    <row r="49" spans="1:7" ht="16.5" customHeight="1" x14ac:dyDescent="0.3">
      <c r="A49" s="17">
        <v>5</v>
      </c>
      <c r="B49" s="18">
        <v>3225186</v>
      </c>
      <c r="C49" s="18">
        <v>11400</v>
      </c>
      <c r="D49" s="19">
        <v>1.1100000000000001</v>
      </c>
      <c r="E49" s="19">
        <v>13.58</v>
      </c>
    </row>
    <row r="50" spans="1:7" ht="16.5" customHeight="1" x14ac:dyDescent="0.3">
      <c r="A50" s="17">
        <v>6</v>
      </c>
      <c r="B50" s="21">
        <v>3224829</v>
      </c>
      <c r="C50" s="21">
        <v>11551</v>
      </c>
      <c r="D50" s="22">
        <v>1.0900000000000001</v>
      </c>
      <c r="E50" s="22">
        <v>13.59</v>
      </c>
    </row>
    <row r="51" spans="1:7" ht="16.5" customHeight="1" x14ac:dyDescent="0.3">
      <c r="A51" s="23" t="s">
        <v>18</v>
      </c>
      <c r="B51" s="24">
        <f>AVERAGE(B45:B50)</f>
        <v>3222239.4</v>
      </c>
      <c r="C51" s="25">
        <f>AVERAGE(C45:C50)</f>
        <v>11555.666666666666</v>
      </c>
      <c r="D51" s="26">
        <f>AVERAGE(D45:D50)</f>
        <v>1.1000000000000001</v>
      </c>
      <c r="E51" s="26">
        <f>AVERAGE(E45:E50)</f>
        <v>13.611666666666666</v>
      </c>
    </row>
    <row r="52" spans="1:7" ht="16.5" customHeight="1" x14ac:dyDescent="0.3">
      <c r="A52" s="27" t="s">
        <v>19</v>
      </c>
      <c r="B52" s="28">
        <f>(STDEV(B45:B50)/B51)</f>
        <v>8.5125527484397731E-4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4" t="s">
        <v>26</v>
      </c>
      <c r="C59" s="6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D51" sqref="D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8" t="s">
        <v>31</v>
      </c>
      <c r="B11" s="669"/>
      <c r="C11" s="669"/>
      <c r="D11" s="669"/>
      <c r="E11" s="669"/>
      <c r="F11" s="670"/>
      <c r="G11" s="91"/>
    </row>
    <row r="12" spans="1:7" ht="16.5" customHeight="1" x14ac:dyDescent="0.3">
      <c r="A12" s="667" t="s">
        <v>32</v>
      </c>
      <c r="B12" s="667"/>
      <c r="C12" s="667"/>
      <c r="D12" s="667"/>
      <c r="E12" s="667"/>
      <c r="F12" s="667"/>
      <c r="G12" s="90"/>
    </row>
    <row r="14" spans="1:7" ht="16.5" customHeight="1" x14ac:dyDescent="0.3">
      <c r="A14" s="672" t="s">
        <v>33</v>
      </c>
      <c r="B14" s="672"/>
      <c r="C14" s="60" t="s">
        <v>5</v>
      </c>
    </row>
    <row r="15" spans="1:7" ht="16.5" customHeight="1" x14ac:dyDescent="0.3">
      <c r="A15" s="672" t="s">
        <v>34</v>
      </c>
      <c r="B15" s="672"/>
      <c r="C15" s="60" t="s">
        <v>7</v>
      </c>
    </row>
    <row r="16" spans="1:7" ht="16.5" customHeight="1" x14ac:dyDescent="0.3">
      <c r="A16" s="672" t="s">
        <v>35</v>
      </c>
      <c r="B16" s="672"/>
      <c r="C16" s="60" t="s">
        <v>9</v>
      </c>
    </row>
    <row r="17" spans="1:5" ht="16.5" customHeight="1" x14ac:dyDescent="0.3">
      <c r="A17" s="672" t="s">
        <v>36</v>
      </c>
      <c r="B17" s="672"/>
      <c r="C17" s="60" t="s">
        <v>11</v>
      </c>
    </row>
    <row r="18" spans="1:5" ht="16.5" customHeight="1" x14ac:dyDescent="0.3">
      <c r="A18" s="672" t="s">
        <v>37</v>
      </c>
      <c r="B18" s="672"/>
      <c r="C18" s="97" t="s">
        <v>12</v>
      </c>
    </row>
    <row r="19" spans="1:5" ht="16.5" customHeight="1" x14ac:dyDescent="0.3">
      <c r="A19" s="672" t="s">
        <v>38</v>
      </c>
      <c r="B19" s="6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7" t="s">
        <v>1</v>
      </c>
      <c r="B21" s="667"/>
      <c r="C21" s="59" t="s">
        <v>39</v>
      </c>
      <c r="D21" s="66"/>
    </row>
    <row r="22" spans="1:5" ht="15.75" customHeight="1" x14ac:dyDescent="0.3">
      <c r="A22" s="671"/>
      <c r="B22" s="671"/>
      <c r="C22" s="57"/>
      <c r="D22" s="671"/>
      <c r="E22" s="67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1837.07</v>
      </c>
      <c r="D24" s="87">
        <f t="shared" ref="D24:D43" si="0">(C24-$C$46)/$C$46</f>
        <v>5.2534392502858402E-3</v>
      </c>
      <c r="E24" s="53"/>
    </row>
    <row r="25" spans="1:5" ht="15.75" customHeight="1" x14ac:dyDescent="0.3">
      <c r="C25" s="95">
        <v>1814.17</v>
      </c>
      <c r="D25" s="88">
        <f t="shared" si="0"/>
        <v>-7.2775496389951393E-3</v>
      </c>
      <c r="E25" s="53"/>
    </row>
    <row r="26" spans="1:5" ht="15.75" customHeight="1" x14ac:dyDescent="0.3">
      <c r="C26" s="95">
        <v>1824.63</v>
      </c>
      <c r="D26" s="88">
        <f t="shared" si="0"/>
        <v>-1.5537879017951267E-3</v>
      </c>
      <c r="E26" s="53"/>
    </row>
    <row r="27" spans="1:5" ht="15.75" customHeight="1" x14ac:dyDescent="0.3">
      <c r="C27" s="95">
        <v>1829.72</v>
      </c>
      <c r="D27" s="88">
        <f t="shared" si="0"/>
        <v>1.2314843011061634E-3</v>
      </c>
      <c r="E27" s="53"/>
    </row>
    <row r="28" spans="1:5" ht="15.75" customHeight="1" x14ac:dyDescent="0.3">
      <c r="C28" s="95">
        <v>1827.57</v>
      </c>
      <c r="D28" s="88">
        <f t="shared" si="0"/>
        <v>5.4994077876669518E-5</v>
      </c>
      <c r="E28" s="53"/>
    </row>
    <row r="29" spans="1:5" ht="15.75" customHeight="1" x14ac:dyDescent="0.3">
      <c r="C29" s="95">
        <v>1820.37</v>
      </c>
      <c r="D29" s="88">
        <f t="shared" si="0"/>
        <v>-3.8848801580545164E-3</v>
      </c>
      <c r="E29" s="53"/>
    </row>
    <row r="30" spans="1:5" ht="15.75" customHeight="1" x14ac:dyDescent="0.3">
      <c r="C30" s="95">
        <v>1819.49</v>
      </c>
      <c r="D30" s="88">
        <f t="shared" si="0"/>
        <v>-4.3664203424460379E-3</v>
      </c>
      <c r="E30" s="53"/>
    </row>
    <row r="31" spans="1:5" ht="15.75" customHeight="1" x14ac:dyDescent="0.3">
      <c r="C31" s="95">
        <v>1834.99</v>
      </c>
      <c r="D31" s="88">
        <f t="shared" si="0"/>
        <v>4.1152533599057668E-3</v>
      </c>
      <c r="E31" s="53"/>
    </row>
    <row r="32" spans="1:5" ht="15.75" customHeight="1" x14ac:dyDescent="0.3">
      <c r="C32" s="95">
        <v>1808.2</v>
      </c>
      <c r="D32" s="88">
        <f t="shared" si="0"/>
        <v>-1.0544362026288076E-2</v>
      </c>
      <c r="E32" s="53"/>
    </row>
    <row r="33" spans="1:7" ht="15.75" customHeight="1" x14ac:dyDescent="0.3">
      <c r="C33" s="95">
        <v>1821.97</v>
      </c>
      <c r="D33" s="88">
        <f t="shared" si="0"/>
        <v>-3.0093525500697396E-3</v>
      </c>
      <c r="E33" s="53"/>
    </row>
    <row r="34" spans="1:7" ht="15.75" customHeight="1" x14ac:dyDescent="0.3">
      <c r="C34" s="95">
        <v>1853.73</v>
      </c>
      <c r="D34" s="88">
        <f t="shared" si="0"/>
        <v>1.4369870468426599E-2</v>
      </c>
      <c r="E34" s="53"/>
    </row>
    <row r="35" spans="1:7" ht="15.75" customHeight="1" x14ac:dyDescent="0.3">
      <c r="C35" s="95">
        <v>1842.54</v>
      </c>
      <c r="D35" s="88">
        <f t="shared" si="0"/>
        <v>8.2466492600835571E-3</v>
      </c>
      <c r="E35" s="53"/>
    </row>
    <row r="36" spans="1:7" ht="15.75" customHeight="1" x14ac:dyDescent="0.3">
      <c r="C36" s="95">
        <v>1839.52</v>
      </c>
      <c r="D36" s="88">
        <f t="shared" si="0"/>
        <v>6.5940909000124408E-3</v>
      </c>
      <c r="E36" s="53"/>
    </row>
    <row r="37" spans="1:7" ht="15.75" customHeight="1" x14ac:dyDescent="0.3">
      <c r="C37" s="95">
        <v>1843.31</v>
      </c>
      <c r="D37" s="88">
        <f t="shared" si="0"/>
        <v>8.6679969214261861E-3</v>
      </c>
      <c r="E37" s="53"/>
    </row>
    <row r="38" spans="1:7" ht="15.75" customHeight="1" x14ac:dyDescent="0.3">
      <c r="C38" s="95">
        <v>1829.73</v>
      </c>
      <c r="D38" s="88">
        <f t="shared" si="0"/>
        <v>1.2369563486560626E-3</v>
      </c>
      <c r="E38" s="53"/>
    </row>
    <row r="39" spans="1:7" ht="15.75" customHeight="1" x14ac:dyDescent="0.3">
      <c r="C39" s="95">
        <v>1820.26</v>
      </c>
      <c r="D39" s="88">
        <f t="shared" si="0"/>
        <v>-3.9450726811034098E-3</v>
      </c>
      <c r="E39" s="53"/>
    </row>
    <row r="40" spans="1:7" ht="15.75" customHeight="1" x14ac:dyDescent="0.3">
      <c r="C40" s="95">
        <v>1821.83</v>
      </c>
      <c r="D40" s="88">
        <f t="shared" si="0"/>
        <v>-3.0859612157684555E-3</v>
      </c>
      <c r="E40" s="53"/>
    </row>
    <row r="41" spans="1:7" ht="15.75" customHeight="1" x14ac:dyDescent="0.3">
      <c r="C41" s="95">
        <v>1813.09</v>
      </c>
      <c r="D41" s="88">
        <f t="shared" si="0"/>
        <v>-7.8685307743848985E-3</v>
      </c>
      <c r="E41" s="53"/>
    </row>
    <row r="42" spans="1:7" ht="15.75" customHeight="1" x14ac:dyDescent="0.3">
      <c r="C42" s="95">
        <v>1827.75</v>
      </c>
      <c r="D42" s="88">
        <f t="shared" si="0"/>
        <v>1.5349093377498338E-4</v>
      </c>
      <c r="E42" s="53"/>
    </row>
    <row r="43" spans="1:7" ht="16.5" customHeight="1" x14ac:dyDescent="0.3">
      <c r="C43" s="96">
        <v>1819.45</v>
      </c>
      <c r="D43" s="89">
        <f t="shared" si="0"/>
        <v>-4.3883085326456355E-3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36549.389999999992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1827.4694999999997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5">
        <f>C46</f>
        <v>1827.4694999999997</v>
      </c>
      <c r="C49" s="93">
        <f>-IF(C46&lt;=80,10%,IF(C46&lt;250,7.5%,5%))</f>
        <v>-0.05</v>
      </c>
      <c r="D49" s="81">
        <f>IF(C46&lt;=80,C46*0.9,IF(C46&lt;250,C46*0.925,C46*0.95))</f>
        <v>1736.0960249999996</v>
      </c>
    </row>
    <row r="50" spans="1:6" ht="17.25" customHeight="1" x14ac:dyDescent="0.3">
      <c r="B50" s="666"/>
      <c r="C50" s="94">
        <f>IF(C46&lt;=80, 10%, IF(C46&lt;250, 7.5%, 5%))</f>
        <v>0.05</v>
      </c>
      <c r="D50" s="81">
        <f>IF(C46&lt;=80, C46*1.1, IF(C46&lt;250, C46*1.075, C46*1.05))</f>
        <v>1918.8429749999998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10" zoomScaleNormal="40" zoomScaleSheetLayoutView="10" zoomScalePageLayoutView="41" workbookViewId="0">
      <selection activeCell="C124" sqref="C124:D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3" t="s">
        <v>45</v>
      </c>
      <c r="B1" s="703"/>
      <c r="C1" s="703"/>
      <c r="D1" s="703"/>
      <c r="E1" s="703"/>
      <c r="F1" s="703"/>
      <c r="G1" s="703"/>
      <c r="H1" s="703"/>
      <c r="I1" s="703"/>
    </row>
    <row r="2" spans="1:9" ht="18.75" customHeight="1" x14ac:dyDescent="0.25">
      <c r="A2" s="703"/>
      <c r="B2" s="703"/>
      <c r="C2" s="703"/>
      <c r="D2" s="703"/>
      <c r="E2" s="703"/>
      <c r="F2" s="703"/>
      <c r="G2" s="703"/>
      <c r="H2" s="703"/>
      <c r="I2" s="703"/>
    </row>
    <row r="3" spans="1:9" ht="18.75" customHeight="1" x14ac:dyDescent="0.25">
      <c r="A3" s="703"/>
      <c r="B3" s="703"/>
      <c r="C3" s="703"/>
      <c r="D3" s="703"/>
      <c r="E3" s="703"/>
      <c r="F3" s="703"/>
      <c r="G3" s="703"/>
      <c r="H3" s="703"/>
      <c r="I3" s="703"/>
    </row>
    <row r="4" spans="1:9" ht="18.75" customHeight="1" x14ac:dyDescent="0.25">
      <c r="A4" s="703"/>
      <c r="B4" s="703"/>
      <c r="C4" s="703"/>
      <c r="D4" s="703"/>
      <c r="E4" s="703"/>
      <c r="F4" s="703"/>
      <c r="G4" s="703"/>
      <c r="H4" s="703"/>
      <c r="I4" s="703"/>
    </row>
    <row r="5" spans="1:9" ht="18.75" customHeight="1" x14ac:dyDescent="0.25">
      <c r="A5" s="703"/>
      <c r="B5" s="703"/>
      <c r="C5" s="703"/>
      <c r="D5" s="703"/>
      <c r="E5" s="703"/>
      <c r="F5" s="703"/>
      <c r="G5" s="703"/>
      <c r="H5" s="703"/>
      <c r="I5" s="703"/>
    </row>
    <row r="6" spans="1:9" ht="18.75" customHeight="1" x14ac:dyDescent="0.25">
      <c r="A6" s="703"/>
      <c r="B6" s="703"/>
      <c r="C6" s="703"/>
      <c r="D6" s="703"/>
      <c r="E6" s="703"/>
      <c r="F6" s="703"/>
      <c r="G6" s="703"/>
      <c r="H6" s="703"/>
      <c r="I6" s="703"/>
    </row>
    <row r="7" spans="1:9" ht="18.75" customHeight="1" x14ac:dyDescent="0.25">
      <c r="A7" s="703"/>
      <c r="B7" s="703"/>
      <c r="C7" s="703"/>
      <c r="D7" s="703"/>
      <c r="E7" s="703"/>
      <c r="F7" s="703"/>
      <c r="G7" s="703"/>
      <c r="H7" s="703"/>
      <c r="I7" s="703"/>
    </row>
    <row r="8" spans="1:9" x14ac:dyDescent="0.25">
      <c r="A8" s="704" t="s">
        <v>46</v>
      </c>
      <c r="B8" s="704"/>
      <c r="C8" s="704"/>
      <c r="D8" s="704"/>
      <c r="E8" s="704"/>
      <c r="F8" s="704"/>
      <c r="G8" s="704"/>
      <c r="H8" s="704"/>
      <c r="I8" s="704"/>
    </row>
    <row r="9" spans="1:9" x14ac:dyDescent="0.25">
      <c r="A9" s="704"/>
      <c r="B9" s="704"/>
      <c r="C9" s="704"/>
      <c r="D9" s="704"/>
      <c r="E9" s="704"/>
      <c r="F9" s="704"/>
      <c r="G9" s="704"/>
      <c r="H9" s="704"/>
      <c r="I9" s="704"/>
    </row>
    <row r="10" spans="1:9" x14ac:dyDescent="0.25">
      <c r="A10" s="704"/>
      <c r="B10" s="704"/>
      <c r="C10" s="704"/>
      <c r="D10" s="704"/>
      <c r="E10" s="704"/>
      <c r="F10" s="704"/>
      <c r="G10" s="704"/>
      <c r="H10" s="704"/>
      <c r="I10" s="704"/>
    </row>
    <row r="11" spans="1:9" x14ac:dyDescent="0.25">
      <c r="A11" s="704"/>
      <c r="B11" s="704"/>
      <c r="C11" s="704"/>
      <c r="D11" s="704"/>
      <c r="E11" s="704"/>
      <c r="F11" s="704"/>
      <c r="G11" s="704"/>
      <c r="H11" s="704"/>
      <c r="I11" s="704"/>
    </row>
    <row r="12" spans="1:9" x14ac:dyDescent="0.25">
      <c r="A12" s="704"/>
      <c r="B12" s="704"/>
      <c r="C12" s="704"/>
      <c r="D12" s="704"/>
      <c r="E12" s="704"/>
      <c r="F12" s="704"/>
      <c r="G12" s="704"/>
      <c r="H12" s="704"/>
      <c r="I12" s="704"/>
    </row>
    <row r="13" spans="1:9" x14ac:dyDescent="0.25">
      <c r="A13" s="704"/>
      <c r="B13" s="704"/>
      <c r="C13" s="704"/>
      <c r="D13" s="704"/>
      <c r="E13" s="704"/>
      <c r="F13" s="704"/>
      <c r="G13" s="704"/>
      <c r="H13" s="704"/>
      <c r="I13" s="704"/>
    </row>
    <row r="14" spans="1:9" x14ac:dyDescent="0.25">
      <c r="A14" s="704"/>
      <c r="B14" s="704"/>
      <c r="C14" s="704"/>
      <c r="D14" s="704"/>
      <c r="E14" s="704"/>
      <c r="F14" s="704"/>
      <c r="G14" s="704"/>
      <c r="H14" s="704"/>
      <c r="I14" s="704"/>
    </row>
    <row r="15" spans="1:9" ht="19.5" customHeight="1" x14ac:dyDescent="0.3">
      <c r="A15" s="98"/>
    </row>
    <row r="16" spans="1:9" ht="19.5" customHeight="1" x14ac:dyDescent="0.3">
      <c r="A16" s="676" t="s">
        <v>31</v>
      </c>
      <c r="B16" s="677"/>
      <c r="C16" s="677"/>
      <c r="D16" s="677"/>
      <c r="E16" s="677"/>
      <c r="F16" s="677"/>
      <c r="G16" s="677"/>
      <c r="H16" s="678"/>
    </row>
    <row r="17" spans="1:14" ht="20.25" customHeight="1" x14ac:dyDescent="0.25">
      <c r="A17" s="679" t="s">
        <v>47</v>
      </c>
      <c r="B17" s="679"/>
      <c r="C17" s="679"/>
      <c r="D17" s="679"/>
      <c r="E17" s="679"/>
      <c r="F17" s="679"/>
      <c r="G17" s="679"/>
      <c r="H17" s="679"/>
    </row>
    <row r="18" spans="1:14" ht="26.25" customHeight="1" x14ac:dyDescent="0.4">
      <c r="A18" s="100" t="s">
        <v>33</v>
      </c>
      <c r="B18" s="675" t="s">
        <v>5</v>
      </c>
      <c r="C18" s="675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80" t="s">
        <v>133</v>
      </c>
      <c r="C20" s="68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80" t="s">
        <v>11</v>
      </c>
      <c r="C21" s="680"/>
      <c r="D21" s="680"/>
      <c r="E21" s="680"/>
      <c r="F21" s="680"/>
      <c r="G21" s="680"/>
      <c r="H21" s="68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481">
        <v>43132.346759259257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75" t="s">
        <v>133</v>
      </c>
      <c r="C26" s="675"/>
    </row>
    <row r="27" spans="1:14" ht="26.25" customHeight="1" x14ac:dyDescent="0.4">
      <c r="A27" s="109" t="s">
        <v>48</v>
      </c>
      <c r="B27" s="681" t="s">
        <v>134</v>
      </c>
      <c r="C27" s="681"/>
    </row>
    <row r="28" spans="1:14" ht="27" customHeight="1" x14ac:dyDescent="0.4">
      <c r="A28" s="109" t="s">
        <v>6</v>
      </c>
      <c r="B28" s="110">
        <v>99.34</v>
      </c>
    </row>
    <row r="29" spans="1:14" s="14" customFormat="1" ht="27" customHeight="1" x14ac:dyDescent="0.4">
      <c r="A29" s="109" t="s">
        <v>49</v>
      </c>
      <c r="B29" s="111">
        <v>0</v>
      </c>
      <c r="C29" s="682" t="s">
        <v>50</v>
      </c>
      <c r="D29" s="683"/>
      <c r="E29" s="683"/>
      <c r="F29" s="683"/>
      <c r="G29" s="6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5" t="s">
        <v>53</v>
      </c>
      <c r="D31" s="686"/>
      <c r="E31" s="686"/>
      <c r="F31" s="686"/>
      <c r="G31" s="686"/>
      <c r="H31" s="6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5" t="s">
        <v>55</v>
      </c>
      <c r="D32" s="686"/>
      <c r="E32" s="686"/>
      <c r="F32" s="686"/>
      <c r="G32" s="686"/>
      <c r="H32" s="6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688" t="s">
        <v>59</v>
      </c>
      <c r="E36" s="689"/>
      <c r="F36" s="688" t="s">
        <v>60</v>
      </c>
      <c r="G36" s="6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25282284</v>
      </c>
      <c r="E38" s="133">
        <f>IF(ISBLANK(D38),"-",$D$48/$D$45*D38)</f>
        <v>24276873.469829328</v>
      </c>
      <c r="F38" s="132">
        <v>23019571</v>
      </c>
      <c r="G38" s="134">
        <f>IF(ISBLANK(F38),"-",$D$48/$F$45*F38)</f>
        <v>24739334.053149361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25182377</v>
      </c>
      <c r="E39" s="138">
        <f>IF(ISBLANK(D39),"-",$D$48/$D$45*D39)</f>
        <v>24180939.510787092</v>
      </c>
      <c r="F39" s="137">
        <v>23331611</v>
      </c>
      <c r="G39" s="139">
        <f>IF(ISBLANK(F39),"-",$D$48/$F$45*F39)</f>
        <v>25074686.167137269</v>
      </c>
      <c r="I39" s="692">
        <f>ABS((F43/D43*D42)-F42)/D42</f>
        <v>2.4849979843285144E-2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24820961</v>
      </c>
      <c r="E40" s="138">
        <f>IF(ISBLANK(D40),"-",$D$48/$D$45*D40)</f>
        <v>23833896.082987141</v>
      </c>
      <c r="F40" s="137">
        <v>22785991</v>
      </c>
      <c r="G40" s="139">
        <f>IF(ISBLANK(F40),"-",$D$48/$F$45*F40)</f>
        <v>24488303.586589642</v>
      </c>
      <c r="I40" s="69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25095207.333333332</v>
      </c>
      <c r="E42" s="148">
        <f>AVERAGE(E38:E41)</f>
        <v>24097236.354534522</v>
      </c>
      <c r="F42" s="147">
        <f>AVERAGE(F38:F41)</f>
        <v>23045724.333333332</v>
      </c>
      <c r="G42" s="149">
        <f>AVERAGE(G38:G41)</f>
        <v>24767441.268958759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12.58</v>
      </c>
      <c r="E43" s="140"/>
      <c r="F43" s="152">
        <v>11.24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12.58</v>
      </c>
      <c r="E44" s="155"/>
      <c r="F44" s="154">
        <f>F43*$B$34</f>
        <v>11.24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12.496972000000001</v>
      </c>
      <c r="E45" s="158"/>
      <c r="F45" s="157">
        <f>F44*$B$30/100</f>
        <v>11.165816</v>
      </c>
      <c r="H45" s="150"/>
    </row>
    <row r="46" spans="1:14" ht="19.5" customHeight="1" x14ac:dyDescent="0.3">
      <c r="A46" s="693" t="s">
        <v>78</v>
      </c>
      <c r="B46" s="694"/>
      <c r="C46" s="153" t="s">
        <v>79</v>
      </c>
      <c r="D46" s="159">
        <f>D45/$B$45</f>
        <v>0.12496972000000001</v>
      </c>
      <c r="E46" s="160"/>
      <c r="F46" s="161">
        <f>F45/$B$45</f>
        <v>0.11165815999999999</v>
      </c>
      <c r="H46" s="150"/>
    </row>
    <row r="47" spans="1:14" ht="27" customHeight="1" x14ac:dyDescent="0.4">
      <c r="A47" s="695"/>
      <c r="B47" s="696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24432338.811746638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1.7892198986814625E-2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47">
        <f>Uniformity!C46</f>
        <v>1827.4694999999997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97" t="s">
        <v>94</v>
      </c>
      <c r="D60" s="700">
        <v>1819.81</v>
      </c>
      <c r="E60" s="182">
        <v>1</v>
      </c>
      <c r="F60" s="183">
        <v>23635441</v>
      </c>
      <c r="G60" s="248">
        <f>IF(ISBLANK(F60),"-",(F60/$D$50*$D$47*$B$68)*($B$57/$D$60))</f>
        <v>291.43654700337851</v>
      </c>
      <c r="H60" s="266">
        <f t="shared" ref="H60:H71" si="0">IF(ISBLANK(F60),"-",(G60/$B$56)*100)</f>
        <v>97.145515667792836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98"/>
      <c r="D61" s="701"/>
      <c r="E61" s="184">
        <v>2</v>
      </c>
      <c r="F61" s="137">
        <v>23386681</v>
      </c>
      <c r="G61" s="249">
        <f>IF(ISBLANK(F61),"-",(F61/$D$50*$D$47*$B$68)*($B$57/$D$60))</f>
        <v>288.3692145413965</v>
      </c>
      <c r="H61" s="267">
        <f t="shared" si="0"/>
        <v>96.123071513798834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98"/>
      <c r="D62" s="701"/>
      <c r="E62" s="184">
        <v>3</v>
      </c>
      <c r="F62" s="185">
        <v>23699968</v>
      </c>
      <c r="G62" s="249">
        <f>IF(ISBLANK(F62),"-",(F62/$D$50*$D$47*$B$68)*($B$57/$D$60))</f>
        <v>292.23219647183942</v>
      </c>
      <c r="H62" s="267">
        <f t="shared" si="0"/>
        <v>97.410732157279796</v>
      </c>
      <c r="L62" s="112"/>
    </row>
    <row r="63" spans="1:12" ht="27" customHeight="1" x14ac:dyDescent="0.4">
      <c r="A63" s="124" t="s">
        <v>97</v>
      </c>
      <c r="B63" s="125">
        <v>1</v>
      </c>
      <c r="C63" s="699"/>
      <c r="D63" s="702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7" t="s">
        <v>99</v>
      </c>
      <c r="D64" s="700">
        <v>1816.86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698"/>
      <c r="D65" s="701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698"/>
      <c r="D66" s="701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699"/>
      <c r="D67" s="702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697" t="s">
        <v>104</v>
      </c>
      <c r="D68" s="700">
        <v>1828.32</v>
      </c>
      <c r="E68" s="182">
        <v>1</v>
      </c>
      <c r="F68" s="183">
        <v>24181112</v>
      </c>
      <c r="G68" s="248">
        <f>IF(ISBLANK(F68),"-",(F68/$D$50*$D$47*$B$68)*($B$57/$D$68))</f>
        <v>296.77711481587676</v>
      </c>
      <c r="H68" s="267">
        <f t="shared" si="0"/>
        <v>98.925704938625586</v>
      </c>
    </row>
    <row r="69" spans="1:8" ht="27" customHeight="1" x14ac:dyDescent="0.4">
      <c r="A69" s="172" t="s">
        <v>105</v>
      </c>
      <c r="B69" s="189">
        <f>(D47*B68)/B56*B57</f>
        <v>1827.4694999999997</v>
      </c>
      <c r="C69" s="698"/>
      <c r="D69" s="701"/>
      <c r="E69" s="184">
        <v>2</v>
      </c>
      <c r="F69" s="137">
        <v>24329425</v>
      </c>
      <c r="G69" s="249">
        <f>IF(ISBLANK(F69),"-",(F69/$D$50*$D$47*$B$68)*($B$57/$D$68))</f>
        <v>298.5973745388244</v>
      </c>
      <c r="H69" s="267">
        <f t="shared" si="0"/>
        <v>99.532458179608128</v>
      </c>
    </row>
    <row r="70" spans="1:8" ht="26.25" customHeight="1" x14ac:dyDescent="0.4">
      <c r="A70" s="710" t="s">
        <v>78</v>
      </c>
      <c r="B70" s="711"/>
      <c r="C70" s="698"/>
      <c r="D70" s="701"/>
      <c r="E70" s="184">
        <v>3</v>
      </c>
      <c r="F70" s="137">
        <v>24379423</v>
      </c>
      <c r="G70" s="249">
        <f>IF(ISBLANK(F70),"-",(F70/$D$50*$D$47*$B$68)*($B$57/$D$68))</f>
        <v>299.21100480473467</v>
      </c>
      <c r="H70" s="267">
        <f t="shared" si="0"/>
        <v>99.737001601578228</v>
      </c>
    </row>
    <row r="71" spans="1:8" ht="27" customHeight="1" x14ac:dyDescent="0.4">
      <c r="A71" s="712"/>
      <c r="B71" s="713"/>
      <c r="C71" s="709"/>
      <c r="D71" s="702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294.43724202934169</v>
      </c>
      <c r="H72" s="269">
        <f>AVERAGE(H60:H71)</f>
        <v>98.145747343113896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1.490185679948226E-2</v>
      </c>
      <c r="H73" s="253">
        <f>STDEV(H60:H71)/H72</f>
        <v>1.4901856799482272E-2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705" t="str">
        <f>B26</f>
        <v>LAMIVUDINE</v>
      </c>
      <c r="D76" s="705"/>
      <c r="E76" s="198" t="s">
        <v>108</v>
      </c>
      <c r="F76" s="198"/>
      <c r="G76" s="285">
        <f>H72</f>
        <v>98.145747343113896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91" t="str">
        <f>B26</f>
        <v>LAMIVUDINE</v>
      </c>
      <c r="C79" s="691"/>
    </row>
    <row r="80" spans="1:8" ht="26.25" customHeight="1" x14ac:dyDescent="0.4">
      <c r="A80" s="109" t="s">
        <v>48</v>
      </c>
      <c r="B80" s="691" t="str">
        <f>B27</f>
        <v>L3-10</v>
      </c>
      <c r="C80" s="691"/>
    </row>
    <row r="81" spans="1:12" ht="27" customHeight="1" x14ac:dyDescent="0.4">
      <c r="A81" s="109" t="s">
        <v>6</v>
      </c>
      <c r="B81" s="201">
        <f>B28</f>
        <v>99.34</v>
      </c>
    </row>
    <row r="82" spans="1:12" s="14" customFormat="1" ht="27" customHeight="1" x14ac:dyDescent="0.4">
      <c r="A82" s="109" t="s">
        <v>49</v>
      </c>
      <c r="B82" s="111">
        <v>0</v>
      </c>
      <c r="C82" s="682" t="s">
        <v>50</v>
      </c>
      <c r="D82" s="683"/>
      <c r="E82" s="683"/>
      <c r="F82" s="683"/>
      <c r="G82" s="6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5" t="s">
        <v>111</v>
      </c>
      <c r="D84" s="686"/>
      <c r="E84" s="686"/>
      <c r="F84" s="686"/>
      <c r="G84" s="686"/>
      <c r="H84" s="6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5" t="s">
        <v>112</v>
      </c>
      <c r="D85" s="686"/>
      <c r="E85" s="686"/>
      <c r="F85" s="686"/>
      <c r="G85" s="686"/>
      <c r="H85" s="6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688" t="s">
        <v>60</v>
      </c>
      <c r="G89" s="690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5934142</v>
      </c>
      <c r="E91" s="133">
        <f>IF(ISBLANK(D91),"-",$D$101/$D$98*D91)</f>
        <v>5261509.8759268597</v>
      </c>
      <c r="F91" s="132">
        <v>4897655</v>
      </c>
      <c r="G91" s="134">
        <f>IF(ISBLANK(F91),"-",$D$101/$F$98*F91)</f>
        <v>5271055.89693115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5933106</v>
      </c>
      <c r="E92" s="138">
        <f>IF(ISBLANK(D92),"-",$D$101/$D$98*D92)</f>
        <v>5260591.3060255228</v>
      </c>
      <c r="F92" s="137">
        <v>4902838</v>
      </c>
      <c r="G92" s="139">
        <f>IF(ISBLANK(F92),"-",$D$101/$F$98*F92)</f>
        <v>5276634.0527452677</v>
      </c>
      <c r="I92" s="692">
        <f>ABS((F96/D96*D95)-F95)/D95</f>
        <v>1.9708254808276345E-3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5935328</v>
      </c>
      <c r="E93" s="138">
        <f>IF(ISBLANK(D93),"-",$D$101/$D$98*D93)</f>
        <v>5262561.4434007844</v>
      </c>
      <c r="F93" s="137">
        <v>4901072</v>
      </c>
      <c r="G93" s="139">
        <f>IF(ISBLANK(F93),"-",$D$101/$F$98*F93)</f>
        <v>5274733.411578428</v>
      </c>
      <c r="I93" s="69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5934192</v>
      </c>
      <c r="E95" s="148">
        <f>AVERAGE(E91:E94)</f>
        <v>5261554.2084510559</v>
      </c>
      <c r="F95" s="211">
        <f>AVERAGE(F91:F94)</f>
        <v>4900521.666666667</v>
      </c>
      <c r="G95" s="212">
        <f>AVERAGE(G91:G94)</f>
        <v>5274141.1204182813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17.03</v>
      </c>
      <c r="E96" s="140"/>
      <c r="F96" s="152">
        <v>14.03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17.03</v>
      </c>
      <c r="E97" s="155"/>
      <c r="F97" s="154">
        <f>F96*$B$87</f>
        <v>14.03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16.917602000000002</v>
      </c>
      <c r="E98" s="158"/>
      <c r="F98" s="157">
        <f>F97*$B$83/100</f>
        <v>13.937401999999999</v>
      </c>
    </row>
    <row r="99" spans="1:10" ht="19.5" customHeight="1" x14ac:dyDescent="0.3">
      <c r="A99" s="693" t="s">
        <v>78</v>
      </c>
      <c r="B99" s="707"/>
      <c r="C99" s="215" t="s">
        <v>116</v>
      </c>
      <c r="D99" s="219">
        <f>D98/$B$98</f>
        <v>0.33835204000000002</v>
      </c>
      <c r="E99" s="158"/>
      <c r="F99" s="161">
        <f>F98/$B$98</f>
        <v>0.27874803999999997</v>
      </c>
      <c r="G99" s="220"/>
      <c r="H99" s="150"/>
    </row>
    <row r="100" spans="1:10" ht="19.5" customHeight="1" x14ac:dyDescent="0.3">
      <c r="A100" s="695"/>
      <c r="B100" s="708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5267847.6644346686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1.3574520501539759E-3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5393777</v>
      </c>
      <c r="E108" s="250">
        <f t="shared" ref="E108:E113" si="1">IF(ISBLANK(D108),"-",D108/$D$103*$D$100*$B$116)</f>
        <v>307.17158184445213</v>
      </c>
      <c r="F108" s="277">
        <f t="shared" ref="F108:F113" si="2">IF(ISBLANK(D108), "-", (E108/$B$56)*100)</f>
        <v>102.39052728148404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5394845</v>
      </c>
      <c r="E109" s="251">
        <f t="shared" si="1"/>
        <v>307.23240364880371</v>
      </c>
      <c r="F109" s="278">
        <f t="shared" si="2"/>
        <v>102.41080121626791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5389158</v>
      </c>
      <c r="E110" s="251">
        <f t="shared" si="1"/>
        <v>306.90853323555717</v>
      </c>
      <c r="F110" s="278">
        <f t="shared" si="2"/>
        <v>102.3028444118524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5394330</v>
      </c>
      <c r="E111" s="251">
        <f t="shared" si="1"/>
        <v>307.20307478247315</v>
      </c>
      <c r="F111" s="278">
        <f t="shared" si="2"/>
        <v>102.40102492749105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5392486</v>
      </c>
      <c r="E112" s="251">
        <f t="shared" si="1"/>
        <v>307.09806035623319</v>
      </c>
      <c r="F112" s="278">
        <f t="shared" si="2"/>
        <v>102.3660201187444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5389042</v>
      </c>
      <c r="E113" s="252">
        <f t="shared" si="1"/>
        <v>306.90192712197597</v>
      </c>
      <c r="F113" s="279">
        <f t="shared" si="2"/>
        <v>102.30064237399199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307.08593016491591</v>
      </c>
      <c r="F115" s="281">
        <f>AVERAGE(F108:F113)</f>
        <v>102.36197672163864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4.7856594689869869E-4</v>
      </c>
      <c r="F116" s="235">
        <f>STDEV(F108:F113)/F115</f>
        <v>4.7856594689867896E-4</v>
      </c>
      <c r="I116" s="98"/>
    </row>
    <row r="117" spans="1:10" ht="27" customHeight="1" x14ac:dyDescent="0.4">
      <c r="A117" s="693" t="s">
        <v>78</v>
      </c>
      <c r="B117" s="694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95"/>
      <c r="B118" s="696"/>
      <c r="C118" s="98"/>
      <c r="D118" s="260"/>
      <c r="E118" s="673" t="s">
        <v>123</v>
      </c>
      <c r="F118" s="674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306.90192712197597</v>
      </c>
      <c r="F119" s="282">
        <f>MIN(F108:F113)</f>
        <v>102.30064237399199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307.23240364880371</v>
      </c>
      <c r="F120" s="283">
        <f>MAX(F108:F113)</f>
        <v>102.41080121626791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705" t="str">
        <f>B26</f>
        <v>LAMIVUDINE</v>
      </c>
      <c r="D124" s="705"/>
      <c r="E124" s="198" t="s">
        <v>127</v>
      </c>
      <c r="F124" s="198"/>
      <c r="G124" s="284">
        <f>F115</f>
        <v>102.36197672163864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714">
        <f>MIN(F108:F113)</f>
        <v>102.30064237399199</v>
      </c>
      <c r="E125" s="209" t="s">
        <v>130</v>
      </c>
      <c r="F125" s="714">
        <f>MAX(F108:F113)</f>
        <v>102.41080121626791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706" t="s">
        <v>26</v>
      </c>
      <c r="C127" s="706"/>
      <c r="E127" s="204" t="s">
        <v>27</v>
      </c>
      <c r="F127" s="239"/>
      <c r="G127" s="706" t="s">
        <v>28</v>
      </c>
      <c r="H127" s="706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" zoomScale="44" zoomScaleNormal="40" zoomScalePageLayoutView="44" workbookViewId="0">
      <selection activeCell="F125" sqref="F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3" t="s">
        <v>45</v>
      </c>
      <c r="B1" s="703"/>
      <c r="C1" s="703"/>
      <c r="D1" s="703"/>
      <c r="E1" s="703"/>
      <c r="F1" s="703"/>
      <c r="G1" s="703"/>
      <c r="H1" s="703"/>
      <c r="I1" s="703"/>
    </row>
    <row r="2" spans="1:9" ht="18.75" customHeight="1" x14ac:dyDescent="0.25">
      <c r="A2" s="703"/>
      <c r="B2" s="703"/>
      <c r="C2" s="703"/>
      <c r="D2" s="703"/>
      <c r="E2" s="703"/>
      <c r="F2" s="703"/>
      <c r="G2" s="703"/>
      <c r="H2" s="703"/>
      <c r="I2" s="703"/>
    </row>
    <row r="3" spans="1:9" ht="18.75" customHeight="1" x14ac:dyDescent="0.25">
      <c r="A3" s="703"/>
      <c r="B3" s="703"/>
      <c r="C3" s="703"/>
      <c r="D3" s="703"/>
      <c r="E3" s="703"/>
      <c r="F3" s="703"/>
      <c r="G3" s="703"/>
      <c r="H3" s="703"/>
      <c r="I3" s="703"/>
    </row>
    <row r="4" spans="1:9" ht="18.75" customHeight="1" x14ac:dyDescent="0.25">
      <c r="A4" s="703"/>
      <c r="B4" s="703"/>
      <c r="C4" s="703"/>
      <c r="D4" s="703"/>
      <c r="E4" s="703"/>
      <c r="F4" s="703"/>
      <c r="G4" s="703"/>
      <c r="H4" s="703"/>
      <c r="I4" s="703"/>
    </row>
    <row r="5" spans="1:9" ht="18.75" customHeight="1" x14ac:dyDescent="0.25">
      <c r="A5" s="703"/>
      <c r="B5" s="703"/>
      <c r="C5" s="703"/>
      <c r="D5" s="703"/>
      <c r="E5" s="703"/>
      <c r="F5" s="703"/>
      <c r="G5" s="703"/>
      <c r="H5" s="703"/>
      <c r="I5" s="703"/>
    </row>
    <row r="6" spans="1:9" ht="18.75" customHeight="1" x14ac:dyDescent="0.25">
      <c r="A6" s="703"/>
      <c r="B6" s="703"/>
      <c r="C6" s="703"/>
      <c r="D6" s="703"/>
      <c r="E6" s="703"/>
      <c r="F6" s="703"/>
      <c r="G6" s="703"/>
      <c r="H6" s="703"/>
      <c r="I6" s="703"/>
    </row>
    <row r="7" spans="1:9" ht="18.75" customHeight="1" x14ac:dyDescent="0.25">
      <c r="A7" s="703"/>
      <c r="B7" s="703"/>
      <c r="C7" s="703"/>
      <c r="D7" s="703"/>
      <c r="E7" s="703"/>
      <c r="F7" s="703"/>
      <c r="G7" s="703"/>
      <c r="H7" s="703"/>
      <c r="I7" s="703"/>
    </row>
    <row r="8" spans="1:9" x14ac:dyDescent="0.25">
      <c r="A8" s="704" t="s">
        <v>46</v>
      </c>
      <c r="B8" s="704"/>
      <c r="C8" s="704"/>
      <c r="D8" s="704"/>
      <c r="E8" s="704"/>
      <c r="F8" s="704"/>
      <c r="G8" s="704"/>
      <c r="H8" s="704"/>
      <c r="I8" s="704"/>
    </row>
    <row r="9" spans="1:9" x14ac:dyDescent="0.25">
      <c r="A9" s="704"/>
      <c r="B9" s="704"/>
      <c r="C9" s="704"/>
      <c r="D9" s="704"/>
      <c r="E9" s="704"/>
      <c r="F9" s="704"/>
      <c r="G9" s="704"/>
      <c r="H9" s="704"/>
      <c r="I9" s="704"/>
    </row>
    <row r="10" spans="1:9" x14ac:dyDescent="0.25">
      <c r="A10" s="704"/>
      <c r="B10" s="704"/>
      <c r="C10" s="704"/>
      <c r="D10" s="704"/>
      <c r="E10" s="704"/>
      <c r="F10" s="704"/>
      <c r="G10" s="704"/>
      <c r="H10" s="704"/>
      <c r="I10" s="704"/>
    </row>
    <row r="11" spans="1:9" x14ac:dyDescent="0.25">
      <c r="A11" s="704"/>
      <c r="B11" s="704"/>
      <c r="C11" s="704"/>
      <c r="D11" s="704"/>
      <c r="E11" s="704"/>
      <c r="F11" s="704"/>
      <c r="G11" s="704"/>
      <c r="H11" s="704"/>
      <c r="I11" s="704"/>
    </row>
    <row r="12" spans="1:9" x14ac:dyDescent="0.25">
      <c r="A12" s="704"/>
      <c r="B12" s="704"/>
      <c r="C12" s="704"/>
      <c r="D12" s="704"/>
      <c r="E12" s="704"/>
      <c r="F12" s="704"/>
      <c r="G12" s="704"/>
      <c r="H12" s="704"/>
      <c r="I12" s="704"/>
    </row>
    <row r="13" spans="1:9" x14ac:dyDescent="0.25">
      <c r="A13" s="704"/>
      <c r="B13" s="704"/>
      <c r="C13" s="704"/>
      <c r="D13" s="704"/>
      <c r="E13" s="704"/>
      <c r="F13" s="704"/>
      <c r="G13" s="704"/>
      <c r="H13" s="704"/>
      <c r="I13" s="704"/>
    </row>
    <row r="14" spans="1:9" x14ac:dyDescent="0.25">
      <c r="A14" s="704"/>
      <c r="B14" s="704"/>
      <c r="C14" s="704"/>
      <c r="D14" s="704"/>
      <c r="E14" s="704"/>
      <c r="F14" s="704"/>
      <c r="G14" s="704"/>
      <c r="H14" s="704"/>
      <c r="I14" s="704"/>
    </row>
    <row r="15" spans="1:9" ht="19.5" customHeight="1" x14ac:dyDescent="0.3">
      <c r="A15" s="286"/>
    </row>
    <row r="16" spans="1:9" ht="19.5" customHeight="1" x14ac:dyDescent="0.3">
      <c r="A16" s="676" t="s">
        <v>31</v>
      </c>
      <c r="B16" s="677"/>
      <c r="C16" s="677"/>
      <c r="D16" s="677"/>
      <c r="E16" s="677"/>
      <c r="F16" s="677"/>
      <c r="G16" s="677"/>
      <c r="H16" s="678"/>
    </row>
    <row r="17" spans="1:14" ht="20.25" customHeight="1" x14ac:dyDescent="0.25">
      <c r="A17" s="679" t="s">
        <v>47</v>
      </c>
      <c r="B17" s="679"/>
      <c r="C17" s="679"/>
      <c r="D17" s="679"/>
      <c r="E17" s="679"/>
      <c r="F17" s="679"/>
      <c r="G17" s="679"/>
      <c r="H17" s="679"/>
    </row>
    <row r="18" spans="1:14" ht="26.25" customHeight="1" x14ac:dyDescent="0.4">
      <c r="A18" s="288" t="s">
        <v>33</v>
      </c>
      <c r="B18" s="675" t="s">
        <v>5</v>
      </c>
      <c r="C18" s="675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680" t="s">
        <v>132</v>
      </c>
      <c r="C20" s="680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680" t="s">
        <v>11</v>
      </c>
      <c r="C21" s="680"/>
      <c r="D21" s="680"/>
      <c r="E21" s="680"/>
      <c r="F21" s="680"/>
      <c r="G21" s="680"/>
      <c r="H21" s="680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43132.346759259257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675" t="s">
        <v>132</v>
      </c>
      <c r="C26" s="675"/>
    </row>
    <row r="27" spans="1:14" ht="26.25" customHeight="1" x14ac:dyDescent="0.4">
      <c r="A27" s="297" t="s">
        <v>48</v>
      </c>
      <c r="B27" s="681" t="s">
        <v>135</v>
      </c>
      <c r="C27" s="681"/>
    </row>
    <row r="28" spans="1:14" ht="27" customHeight="1" x14ac:dyDescent="0.4">
      <c r="A28" s="297" t="s">
        <v>6</v>
      </c>
      <c r="B28" s="298">
        <v>99.54</v>
      </c>
    </row>
    <row r="29" spans="1:14" s="14" customFormat="1" ht="27" customHeight="1" x14ac:dyDescent="0.4">
      <c r="A29" s="297" t="s">
        <v>49</v>
      </c>
      <c r="B29" s="299">
        <v>0</v>
      </c>
      <c r="C29" s="682" t="s">
        <v>50</v>
      </c>
      <c r="D29" s="683"/>
      <c r="E29" s="683"/>
      <c r="F29" s="683"/>
      <c r="G29" s="684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99.54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685" t="s">
        <v>53</v>
      </c>
      <c r="D31" s="686"/>
      <c r="E31" s="686"/>
      <c r="F31" s="686"/>
      <c r="G31" s="686"/>
      <c r="H31" s="687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685" t="s">
        <v>55</v>
      </c>
      <c r="D32" s="686"/>
      <c r="E32" s="686"/>
      <c r="F32" s="686"/>
      <c r="G32" s="686"/>
      <c r="H32" s="687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100</v>
      </c>
      <c r="C36" s="287"/>
      <c r="D36" s="688" t="s">
        <v>59</v>
      </c>
      <c r="E36" s="689"/>
      <c r="F36" s="688" t="s">
        <v>60</v>
      </c>
      <c r="G36" s="690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</v>
      </c>
      <c r="C38" s="319">
        <v>1</v>
      </c>
      <c r="D38" s="320">
        <v>12373544</v>
      </c>
      <c r="E38" s="321">
        <f>IF(ISBLANK(D38),"-",$D$48/$D$45*D38)</f>
        <v>12338188.919650741</v>
      </c>
      <c r="F38" s="320">
        <v>12039866</v>
      </c>
      <c r="G38" s="322">
        <f>IF(ISBLANK(F38),"-",$D$48/$F$45*F38)</f>
        <v>12085434.129384844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12356223</v>
      </c>
      <c r="E39" s="326">
        <f>IF(ISBLANK(D39),"-",$D$48/$D$45*D39)</f>
        <v>12320917.411158325</v>
      </c>
      <c r="F39" s="325">
        <v>12188700</v>
      </c>
      <c r="G39" s="327">
        <f>IF(ISBLANK(F39),"-",$D$48/$F$45*F39)</f>
        <v>12234831.43191403</v>
      </c>
      <c r="I39" s="692">
        <f>ABS((F43/D43*D42)-F42)/D42</f>
        <v>1.4816011867524679E-2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12206692</v>
      </c>
      <c r="E40" s="326">
        <f>IF(ISBLANK(D40),"-",$D$48/$D$45*D40)</f>
        <v>12171813.667934533</v>
      </c>
      <c r="F40" s="325">
        <v>11916232</v>
      </c>
      <c r="G40" s="327">
        <f>IF(ISBLANK(F40),"-",$D$48/$F$45*F40)</f>
        <v>11961332.20307168</v>
      </c>
      <c r="I40" s="692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12312153</v>
      </c>
      <c r="E42" s="336">
        <f>AVERAGE(E38:E41)</f>
        <v>12276973.332914531</v>
      </c>
      <c r="F42" s="335">
        <f>AVERAGE(F38:F41)</f>
        <v>12048266</v>
      </c>
      <c r="G42" s="337">
        <f>AVERAGE(G38:G41)</f>
        <v>12093865.921456851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12.09</v>
      </c>
      <c r="E43" s="328"/>
      <c r="F43" s="340">
        <v>12.01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12.09</v>
      </c>
      <c r="E44" s="343"/>
      <c r="F44" s="342">
        <f>F43*$B$34</f>
        <v>12.01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100</v>
      </c>
      <c r="C45" s="341" t="s">
        <v>77</v>
      </c>
      <c r="D45" s="345">
        <f>D44*$B$30/100</f>
        <v>12.034386</v>
      </c>
      <c r="E45" s="346"/>
      <c r="F45" s="345">
        <f>F44*$B$30/100</f>
        <v>11.954754000000001</v>
      </c>
      <c r="H45" s="338"/>
    </row>
    <row r="46" spans="1:14" ht="19.5" customHeight="1" x14ac:dyDescent="0.3">
      <c r="A46" s="693" t="s">
        <v>78</v>
      </c>
      <c r="B46" s="694"/>
      <c r="C46" s="341" t="s">
        <v>79</v>
      </c>
      <c r="D46" s="347">
        <f>D45/$B$45</f>
        <v>0.12034386</v>
      </c>
      <c r="E46" s="348"/>
      <c r="F46" s="349">
        <f>F45/$B$45</f>
        <v>0.11954754000000001</v>
      </c>
      <c r="H46" s="338"/>
    </row>
    <row r="47" spans="1:14" ht="27" customHeight="1" x14ac:dyDescent="0.4">
      <c r="A47" s="695"/>
      <c r="B47" s="696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12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12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12185419.627185693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1.1866143146932533E-2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>TENOFOVIR DISOPROXIL FUMURATE</v>
      </c>
      <c r="H56" s="367"/>
    </row>
    <row r="57" spans="1:12" ht="18.75" x14ac:dyDescent="0.3">
      <c r="A57" s="364" t="s">
        <v>88</v>
      </c>
      <c r="B57" s="435">
        <f>Uniformity!C46</f>
        <v>1827.4694999999997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50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697" t="s">
        <v>94</v>
      </c>
      <c r="D60" s="700">
        <f>Lamivudine!D60</f>
        <v>1819.81</v>
      </c>
      <c r="E60" s="370">
        <v>1</v>
      </c>
      <c r="F60" s="371">
        <v>11966338</v>
      </c>
      <c r="G60" s="436">
        <f>IF(ISBLANK(F60),"-",(F60/$D$50*$D$47*$B$68)*($B$57/$D$60))</f>
        <v>295.84628571702183</v>
      </c>
      <c r="H60" s="454">
        <f t="shared" ref="H60:H71" si="0">IF(ISBLANK(F60),"-",(G60/$B$56)*100)</f>
        <v>98.615428572340619</v>
      </c>
      <c r="L60" s="300"/>
    </row>
    <row r="61" spans="1:12" s="14" customFormat="1" ht="26.25" customHeight="1" x14ac:dyDescent="0.4">
      <c r="A61" s="312" t="s">
        <v>95</v>
      </c>
      <c r="B61" s="313">
        <v>200</v>
      </c>
      <c r="C61" s="698"/>
      <c r="D61" s="701"/>
      <c r="E61" s="372">
        <v>2</v>
      </c>
      <c r="F61" s="325">
        <v>11764031</v>
      </c>
      <c r="G61" s="437">
        <f>IF(ISBLANK(F61),"-",(F61/$D$50*$D$47*$B$68)*($B$57/$D$60))</f>
        <v>290.84460729839833</v>
      </c>
      <c r="H61" s="455">
        <f t="shared" si="0"/>
        <v>96.948202432799448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698"/>
      <c r="D62" s="701"/>
      <c r="E62" s="372">
        <v>3</v>
      </c>
      <c r="F62" s="373">
        <v>12012655</v>
      </c>
      <c r="G62" s="437">
        <f>IF(ISBLANK(F62),"-",(F62/$D$50*$D$47*$B$68)*($B$57/$D$60))</f>
        <v>296.9913906284454</v>
      </c>
      <c r="H62" s="455">
        <f t="shared" si="0"/>
        <v>98.997130209481796</v>
      </c>
      <c r="L62" s="300"/>
    </row>
    <row r="63" spans="1:12" ht="27" customHeight="1" x14ac:dyDescent="0.4">
      <c r="A63" s="312" t="s">
        <v>97</v>
      </c>
      <c r="B63" s="313">
        <v>1</v>
      </c>
      <c r="C63" s="699"/>
      <c r="D63" s="702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697" t="s">
        <v>99</v>
      </c>
      <c r="D64" s="700">
        <f>Lamivudine!D64</f>
        <v>1816.86</v>
      </c>
      <c r="E64" s="370">
        <v>1</v>
      </c>
      <c r="F64" s="371"/>
      <c r="G64" s="436" t="str">
        <f>IF(ISBLANK(F64),"-",(F64/$D$50*$D$47*$B$68)*($B$57/$D$64))</f>
        <v>-</v>
      </c>
      <c r="H64" s="454" t="str">
        <f t="shared" si="0"/>
        <v>-</v>
      </c>
    </row>
    <row r="65" spans="1:8" ht="26.25" customHeight="1" x14ac:dyDescent="0.4">
      <c r="A65" s="312" t="s">
        <v>100</v>
      </c>
      <c r="B65" s="313">
        <v>1</v>
      </c>
      <c r="C65" s="698"/>
      <c r="D65" s="701"/>
      <c r="E65" s="372">
        <v>2</v>
      </c>
      <c r="F65" s="325"/>
      <c r="G65" s="437" t="str">
        <f>IF(ISBLANK(F65),"-",(F65/$D$50*$D$47*$B$68)*($B$57/$D$64))</f>
        <v>-</v>
      </c>
      <c r="H65" s="455" t="str">
        <f t="shared" si="0"/>
        <v>-</v>
      </c>
    </row>
    <row r="66" spans="1:8" ht="26.25" customHeight="1" x14ac:dyDescent="0.4">
      <c r="A66" s="312" t="s">
        <v>101</v>
      </c>
      <c r="B66" s="313">
        <v>1</v>
      </c>
      <c r="C66" s="698"/>
      <c r="D66" s="701"/>
      <c r="E66" s="372">
        <v>3</v>
      </c>
      <c r="F66" s="325"/>
      <c r="G66" s="437" t="str">
        <f>IF(ISBLANK(F66),"-",(F66/$D$50*$D$47*$B$68)*($B$57/$D$64))</f>
        <v>-</v>
      </c>
      <c r="H66" s="455" t="str">
        <f t="shared" si="0"/>
        <v>-</v>
      </c>
    </row>
    <row r="67" spans="1:8" ht="27" customHeight="1" x14ac:dyDescent="0.4">
      <c r="A67" s="312" t="s">
        <v>102</v>
      </c>
      <c r="B67" s="313">
        <v>1</v>
      </c>
      <c r="C67" s="699"/>
      <c r="D67" s="702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697" t="s">
        <v>104</v>
      </c>
      <c r="D68" s="700">
        <f>Lamivudine!D68</f>
        <v>1828.32</v>
      </c>
      <c r="E68" s="370">
        <v>1</v>
      </c>
      <c r="F68" s="371">
        <v>12262664</v>
      </c>
      <c r="G68" s="436">
        <f>IF(ISBLANK(F68),"-",(F68/$D$50*$D$47*$B$68)*($B$57/$D$68))</f>
        <v>301.76128557397175</v>
      </c>
      <c r="H68" s="455">
        <f t="shared" si="0"/>
        <v>100.58709519132391</v>
      </c>
    </row>
    <row r="69" spans="1:8" ht="27" customHeight="1" x14ac:dyDescent="0.4">
      <c r="A69" s="360" t="s">
        <v>105</v>
      </c>
      <c r="B69" s="377">
        <f>(D47*B68)/B56*B57</f>
        <v>1827.4694999999997</v>
      </c>
      <c r="C69" s="698"/>
      <c r="D69" s="701"/>
      <c r="E69" s="372">
        <v>2</v>
      </c>
      <c r="F69" s="325">
        <v>12336081</v>
      </c>
      <c r="G69" s="437">
        <f>IF(ISBLANK(F69),"-",(F69/$D$50*$D$47*$B$68)*($B$57/$D$68))</f>
        <v>303.56794098775333</v>
      </c>
      <c r="H69" s="455">
        <f t="shared" si="0"/>
        <v>101.18931366258444</v>
      </c>
    </row>
    <row r="70" spans="1:8" ht="26.25" customHeight="1" x14ac:dyDescent="0.4">
      <c r="A70" s="710" t="s">
        <v>78</v>
      </c>
      <c r="B70" s="711"/>
      <c r="C70" s="698"/>
      <c r="D70" s="701"/>
      <c r="E70" s="372">
        <v>3</v>
      </c>
      <c r="F70" s="325">
        <v>12370010</v>
      </c>
      <c r="G70" s="437">
        <f>IF(ISBLANK(F70),"-",(F70/$D$50*$D$47*$B$68)*($B$57/$D$68))</f>
        <v>304.4028703846804</v>
      </c>
      <c r="H70" s="455">
        <f t="shared" si="0"/>
        <v>101.46762346156012</v>
      </c>
    </row>
    <row r="71" spans="1:8" ht="27" customHeight="1" x14ac:dyDescent="0.4">
      <c r="A71" s="712"/>
      <c r="B71" s="713"/>
      <c r="C71" s="709"/>
      <c r="D71" s="702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298.90239676504518</v>
      </c>
      <c r="H72" s="457">
        <f>AVERAGE(H60:H71)</f>
        <v>99.634132255015047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1.7583559371240277E-2</v>
      </c>
      <c r="H73" s="441">
        <f>STDEV(H60:H71)/H72</f>
        <v>1.7583559371240225E-2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705" t="str">
        <f>B26</f>
        <v>TENOFOVIR DISOPROXIL FUMURATE</v>
      </c>
      <c r="D76" s="705"/>
      <c r="E76" s="386" t="s">
        <v>108</v>
      </c>
      <c r="F76" s="386"/>
      <c r="G76" s="473">
        <f>H72</f>
        <v>99.634132255015047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691" t="str">
        <f>B26</f>
        <v>TENOFOVIR DISOPROXIL FUMURATE</v>
      </c>
      <c r="C79" s="691"/>
    </row>
    <row r="80" spans="1:8" ht="26.25" customHeight="1" x14ac:dyDescent="0.4">
      <c r="A80" s="297" t="s">
        <v>48</v>
      </c>
      <c r="B80" s="691" t="str">
        <f>B27</f>
        <v>T11-10</v>
      </c>
      <c r="C80" s="691"/>
    </row>
    <row r="81" spans="1:12" ht="27" customHeight="1" x14ac:dyDescent="0.4">
      <c r="A81" s="297" t="s">
        <v>6</v>
      </c>
      <c r="B81" s="389">
        <f>B28</f>
        <v>99.54</v>
      </c>
    </row>
    <row r="82" spans="1:12" s="14" customFormat="1" ht="27" customHeight="1" x14ac:dyDescent="0.4">
      <c r="A82" s="297" t="s">
        <v>49</v>
      </c>
      <c r="B82" s="299">
        <v>0</v>
      </c>
      <c r="C82" s="682" t="s">
        <v>50</v>
      </c>
      <c r="D82" s="683"/>
      <c r="E82" s="683"/>
      <c r="F82" s="683"/>
      <c r="G82" s="684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99.54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685" t="s">
        <v>111</v>
      </c>
      <c r="D84" s="686"/>
      <c r="E84" s="686"/>
      <c r="F84" s="686"/>
      <c r="G84" s="686"/>
      <c r="H84" s="687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685" t="s">
        <v>112</v>
      </c>
      <c r="D85" s="686"/>
      <c r="E85" s="686"/>
      <c r="F85" s="686"/>
      <c r="G85" s="686"/>
      <c r="H85" s="687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50</v>
      </c>
      <c r="D89" s="390" t="s">
        <v>59</v>
      </c>
      <c r="E89" s="391"/>
      <c r="F89" s="688" t="s">
        <v>60</v>
      </c>
      <c r="G89" s="690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4671252</v>
      </c>
      <c r="E91" s="321">
        <f>IF(ISBLANK(D91),"-",$D$101/$D$98*D91)</f>
        <v>5017290.5128380284</v>
      </c>
      <c r="F91" s="320">
        <v>5316933</v>
      </c>
      <c r="G91" s="322">
        <f>IF(ISBLANK(F91),"-",$D$101/$F$98*F91)</f>
        <v>5067840.5294334954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4665296</v>
      </c>
      <c r="E92" s="326">
        <f>IF(ISBLANK(D92),"-",$D$101/$D$98*D92)</f>
        <v>5010893.3023483222</v>
      </c>
      <c r="F92" s="325">
        <v>5308729</v>
      </c>
      <c r="G92" s="327">
        <f>IF(ISBLANK(F92),"-",$D$101/$F$98*F92)</f>
        <v>5060020.8778216597</v>
      </c>
      <c r="I92" s="692">
        <f>ABS((F96/D96*D95)-F95)/D95</f>
        <v>1.1691045570734897E-2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4659313</v>
      </c>
      <c r="E93" s="326">
        <f>IF(ISBLANK(D93),"-",$D$101/$D$98*D93)</f>
        <v>5004467.0917439042</v>
      </c>
      <c r="F93" s="325">
        <v>5309494</v>
      </c>
      <c r="G93" s="327">
        <f>IF(ISBLANK(F93),"-",$D$101/$F$98*F93)</f>
        <v>5060750.0384119879</v>
      </c>
      <c r="I93" s="692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4665287</v>
      </c>
      <c r="E95" s="336">
        <f>AVERAGE(E91:E94)</f>
        <v>5010883.6356434189</v>
      </c>
      <c r="F95" s="399">
        <f>AVERAGE(F91:F94)</f>
        <v>5311718.666666667</v>
      </c>
      <c r="G95" s="400">
        <f>AVERAGE(G91:G94)</f>
        <v>5062870.4818890477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14.03</v>
      </c>
      <c r="E96" s="328"/>
      <c r="F96" s="340">
        <v>15.81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14.03</v>
      </c>
      <c r="E97" s="343"/>
      <c r="F97" s="342">
        <f>F96*$B$87</f>
        <v>15.81</v>
      </c>
    </row>
    <row r="98" spans="1:10" ht="19.5" customHeight="1" x14ac:dyDescent="0.3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13.965462</v>
      </c>
      <c r="E98" s="346"/>
      <c r="F98" s="345">
        <f>F97*$B$83/100</f>
        <v>15.737274000000003</v>
      </c>
    </row>
    <row r="99" spans="1:10" ht="19.5" customHeight="1" x14ac:dyDescent="0.3">
      <c r="A99" s="693" t="s">
        <v>78</v>
      </c>
      <c r="B99" s="707"/>
      <c r="C99" s="403" t="s">
        <v>116</v>
      </c>
      <c r="D99" s="407">
        <f>D98/$B$98</f>
        <v>0.27930924000000001</v>
      </c>
      <c r="E99" s="346"/>
      <c r="F99" s="349">
        <f>F98/$B$98</f>
        <v>0.31474548000000008</v>
      </c>
      <c r="G99" s="408"/>
      <c r="H99" s="338"/>
    </row>
    <row r="100" spans="1:10" ht="19.5" customHeight="1" x14ac:dyDescent="0.3">
      <c r="A100" s="695"/>
      <c r="B100" s="708"/>
      <c r="C100" s="403" t="s">
        <v>80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5036877.0587662337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5.7359208147371044E-3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5241803</v>
      </c>
      <c r="E108" s="438">
        <f t="shared" ref="E108:E113" si="1">IF(ISBLANK(D108),"-",D108/$D$103*$D$100*$B$116)</f>
        <v>312.20553562313643</v>
      </c>
      <c r="F108" s="465">
        <f t="shared" ref="F108:F113" si="2">IF(ISBLANK(D108), "-", (E108/$B$56)*100)</f>
        <v>104.0685118743788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5238339</v>
      </c>
      <c r="E109" s="439">
        <f t="shared" si="1"/>
        <v>311.99921730567991</v>
      </c>
      <c r="F109" s="466">
        <f t="shared" si="2"/>
        <v>103.99973910189331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5226274</v>
      </c>
      <c r="E110" s="439">
        <f t="shared" si="1"/>
        <v>311.28061727677891</v>
      </c>
      <c r="F110" s="466">
        <f t="shared" si="2"/>
        <v>103.7602057589263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5224178</v>
      </c>
      <c r="E111" s="439">
        <f t="shared" si="1"/>
        <v>311.15577801771747</v>
      </c>
      <c r="F111" s="466">
        <f t="shared" si="2"/>
        <v>103.71859267257248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5226275</v>
      </c>
      <c r="E112" s="439">
        <f t="shared" si="1"/>
        <v>311.28067683749413</v>
      </c>
      <c r="F112" s="466">
        <f t="shared" si="2"/>
        <v>103.76022561249805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5223512</v>
      </c>
      <c r="E113" s="440">
        <f t="shared" si="1"/>
        <v>311.11611058139363</v>
      </c>
      <c r="F113" s="467">
        <f t="shared" si="2"/>
        <v>103.70537019379789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311.50632260703338</v>
      </c>
      <c r="F115" s="469">
        <f>AVERAGE(F108:F113)</f>
        <v>103.83544086901112</v>
      </c>
    </row>
    <row r="116" spans="1:10" ht="27" customHeight="1" x14ac:dyDescent="0.4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1.5117657668248844E-3</v>
      </c>
      <c r="F116" s="423">
        <f>STDEV(F108:F113)/F115</f>
        <v>1.5117657668248562E-3</v>
      </c>
      <c r="I116" s="286"/>
    </row>
    <row r="117" spans="1:10" ht="27" customHeight="1" x14ac:dyDescent="0.4">
      <c r="A117" s="693" t="s">
        <v>78</v>
      </c>
      <c r="B117" s="694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95"/>
      <c r="B118" s="696"/>
      <c r="C118" s="286"/>
      <c r="D118" s="448"/>
      <c r="E118" s="673" t="s">
        <v>123</v>
      </c>
      <c r="F118" s="674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311.11611058139363</v>
      </c>
      <c r="F119" s="470">
        <f>MIN(F108:F113)</f>
        <v>103.70537019379789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312.20553562313643</v>
      </c>
      <c r="F120" s="471">
        <f>MAX(F108:F113)</f>
        <v>104.0685118743788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705" t="str">
        <f>B26</f>
        <v>TENOFOVIR DISOPROXIL FUMURATE</v>
      </c>
      <c r="D124" s="705"/>
      <c r="E124" s="386" t="s">
        <v>127</v>
      </c>
      <c r="F124" s="386"/>
      <c r="G124" s="472">
        <f>F115</f>
        <v>103.83544086901112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714">
        <f>MIN(F108:F113)</f>
        <v>103.70537019379789</v>
      </c>
      <c r="E125" s="397" t="s">
        <v>130</v>
      </c>
      <c r="F125" s="714">
        <f>MAX(F108:F113)</f>
        <v>104.0685118743788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706" t="s">
        <v>26</v>
      </c>
      <c r="C127" s="706"/>
      <c r="E127" s="392" t="s">
        <v>27</v>
      </c>
      <c r="F127" s="427"/>
      <c r="G127" s="706" t="s">
        <v>28</v>
      </c>
      <c r="H127" s="706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9" zoomScale="43" zoomScaleNormal="40" zoomScalePageLayoutView="43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3" t="s">
        <v>45</v>
      </c>
      <c r="B1" s="703"/>
      <c r="C1" s="703"/>
      <c r="D1" s="703"/>
      <c r="E1" s="703"/>
      <c r="F1" s="703"/>
      <c r="G1" s="703"/>
      <c r="H1" s="703"/>
      <c r="I1" s="703"/>
    </row>
    <row r="2" spans="1:9" ht="18.75" customHeight="1" x14ac:dyDescent="0.25">
      <c r="A2" s="703"/>
      <c r="B2" s="703"/>
      <c r="C2" s="703"/>
      <c r="D2" s="703"/>
      <c r="E2" s="703"/>
      <c r="F2" s="703"/>
      <c r="G2" s="703"/>
      <c r="H2" s="703"/>
      <c r="I2" s="703"/>
    </row>
    <row r="3" spans="1:9" ht="18.75" customHeight="1" x14ac:dyDescent="0.25">
      <c r="A3" s="703"/>
      <c r="B3" s="703"/>
      <c r="C3" s="703"/>
      <c r="D3" s="703"/>
      <c r="E3" s="703"/>
      <c r="F3" s="703"/>
      <c r="G3" s="703"/>
      <c r="H3" s="703"/>
      <c r="I3" s="703"/>
    </row>
    <row r="4" spans="1:9" ht="18.75" customHeight="1" x14ac:dyDescent="0.25">
      <c r="A4" s="703"/>
      <c r="B4" s="703"/>
      <c r="C4" s="703"/>
      <c r="D4" s="703"/>
      <c r="E4" s="703"/>
      <c r="F4" s="703"/>
      <c r="G4" s="703"/>
      <c r="H4" s="703"/>
      <c r="I4" s="703"/>
    </row>
    <row r="5" spans="1:9" ht="18.75" customHeight="1" x14ac:dyDescent="0.25">
      <c r="A5" s="703"/>
      <c r="B5" s="703"/>
      <c r="C5" s="703"/>
      <c r="D5" s="703"/>
      <c r="E5" s="703"/>
      <c r="F5" s="703"/>
      <c r="G5" s="703"/>
      <c r="H5" s="703"/>
      <c r="I5" s="703"/>
    </row>
    <row r="6" spans="1:9" ht="18.75" customHeight="1" x14ac:dyDescent="0.25">
      <c r="A6" s="703"/>
      <c r="B6" s="703"/>
      <c r="C6" s="703"/>
      <c r="D6" s="703"/>
      <c r="E6" s="703"/>
      <c r="F6" s="703"/>
      <c r="G6" s="703"/>
      <c r="H6" s="703"/>
      <c r="I6" s="703"/>
    </row>
    <row r="7" spans="1:9" ht="18.75" customHeight="1" x14ac:dyDescent="0.25">
      <c r="A7" s="703"/>
      <c r="B7" s="703"/>
      <c r="C7" s="703"/>
      <c r="D7" s="703"/>
      <c r="E7" s="703"/>
      <c r="F7" s="703"/>
      <c r="G7" s="703"/>
      <c r="H7" s="703"/>
      <c r="I7" s="703"/>
    </row>
    <row r="8" spans="1:9" x14ac:dyDescent="0.25">
      <c r="A8" s="704" t="s">
        <v>46</v>
      </c>
      <c r="B8" s="704"/>
      <c r="C8" s="704"/>
      <c r="D8" s="704"/>
      <c r="E8" s="704"/>
      <c r="F8" s="704"/>
      <c r="G8" s="704"/>
      <c r="H8" s="704"/>
      <c r="I8" s="704"/>
    </row>
    <row r="9" spans="1:9" x14ac:dyDescent="0.25">
      <c r="A9" s="704"/>
      <c r="B9" s="704"/>
      <c r="C9" s="704"/>
      <c r="D9" s="704"/>
      <c r="E9" s="704"/>
      <c r="F9" s="704"/>
      <c r="G9" s="704"/>
      <c r="H9" s="704"/>
      <c r="I9" s="704"/>
    </row>
    <row r="10" spans="1:9" x14ac:dyDescent="0.25">
      <c r="A10" s="704"/>
      <c r="B10" s="704"/>
      <c r="C10" s="704"/>
      <c r="D10" s="704"/>
      <c r="E10" s="704"/>
      <c r="F10" s="704"/>
      <c r="G10" s="704"/>
      <c r="H10" s="704"/>
      <c r="I10" s="704"/>
    </row>
    <row r="11" spans="1:9" x14ac:dyDescent="0.25">
      <c r="A11" s="704"/>
      <c r="B11" s="704"/>
      <c r="C11" s="704"/>
      <c r="D11" s="704"/>
      <c r="E11" s="704"/>
      <c r="F11" s="704"/>
      <c r="G11" s="704"/>
      <c r="H11" s="704"/>
      <c r="I11" s="704"/>
    </row>
    <row r="12" spans="1:9" x14ac:dyDescent="0.25">
      <c r="A12" s="704"/>
      <c r="B12" s="704"/>
      <c r="C12" s="704"/>
      <c r="D12" s="704"/>
      <c r="E12" s="704"/>
      <c r="F12" s="704"/>
      <c r="G12" s="704"/>
      <c r="H12" s="704"/>
      <c r="I12" s="704"/>
    </row>
    <row r="13" spans="1:9" x14ac:dyDescent="0.25">
      <c r="A13" s="704"/>
      <c r="B13" s="704"/>
      <c r="C13" s="704"/>
      <c r="D13" s="704"/>
      <c r="E13" s="704"/>
      <c r="F13" s="704"/>
      <c r="G13" s="704"/>
      <c r="H13" s="704"/>
      <c r="I13" s="704"/>
    </row>
    <row r="14" spans="1:9" x14ac:dyDescent="0.25">
      <c r="A14" s="704"/>
      <c r="B14" s="704"/>
      <c r="C14" s="704"/>
      <c r="D14" s="704"/>
      <c r="E14" s="704"/>
      <c r="F14" s="704"/>
      <c r="G14" s="704"/>
      <c r="H14" s="704"/>
      <c r="I14" s="704"/>
    </row>
    <row r="15" spans="1:9" ht="19.5" customHeight="1" x14ac:dyDescent="0.3">
      <c r="A15" s="474"/>
    </row>
    <row r="16" spans="1:9" ht="19.5" customHeight="1" x14ac:dyDescent="0.3">
      <c r="A16" s="676" t="s">
        <v>31</v>
      </c>
      <c r="B16" s="677"/>
      <c r="C16" s="677"/>
      <c r="D16" s="677"/>
      <c r="E16" s="677"/>
      <c r="F16" s="677"/>
      <c r="G16" s="677"/>
      <c r="H16" s="678"/>
    </row>
    <row r="17" spans="1:14" ht="20.25" customHeight="1" x14ac:dyDescent="0.25">
      <c r="A17" s="679" t="s">
        <v>47</v>
      </c>
      <c r="B17" s="679"/>
      <c r="C17" s="679"/>
      <c r="D17" s="679"/>
      <c r="E17" s="679"/>
      <c r="F17" s="679"/>
      <c r="G17" s="679"/>
      <c r="H17" s="679"/>
    </row>
    <row r="18" spans="1:14" ht="26.25" customHeight="1" x14ac:dyDescent="0.4">
      <c r="A18" s="476" t="s">
        <v>33</v>
      </c>
      <c r="B18" s="675" t="s">
        <v>5</v>
      </c>
      <c r="C18" s="675"/>
      <c r="D18" s="622"/>
      <c r="E18" s="477"/>
      <c r="F18" s="478"/>
      <c r="G18" s="478"/>
      <c r="H18" s="478"/>
    </row>
    <row r="19" spans="1:14" ht="26.25" customHeight="1" x14ac:dyDescent="0.4">
      <c r="A19" s="476" t="s">
        <v>34</v>
      </c>
      <c r="B19" s="479" t="s">
        <v>7</v>
      </c>
      <c r="C19" s="631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35</v>
      </c>
      <c r="B20" s="680" t="s">
        <v>131</v>
      </c>
      <c r="C20" s="680"/>
      <c r="D20" s="478"/>
      <c r="E20" s="478"/>
      <c r="F20" s="478"/>
      <c r="G20" s="478"/>
      <c r="H20" s="478"/>
    </row>
    <row r="21" spans="1:14" ht="26.25" customHeight="1" x14ac:dyDescent="0.4">
      <c r="A21" s="476" t="s">
        <v>36</v>
      </c>
      <c r="B21" s="680" t="s">
        <v>11</v>
      </c>
      <c r="C21" s="680"/>
      <c r="D21" s="680"/>
      <c r="E21" s="680"/>
      <c r="F21" s="680"/>
      <c r="G21" s="680"/>
      <c r="H21" s="680"/>
      <c r="I21" s="480"/>
    </row>
    <row r="22" spans="1:14" ht="26.25" customHeight="1" x14ac:dyDescent="0.4">
      <c r="A22" s="476" t="s">
        <v>37</v>
      </c>
      <c r="B22" s="481" t="s">
        <v>12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38</v>
      </c>
      <c r="B23" s="481">
        <v>43132.346759259257</v>
      </c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675" t="s">
        <v>131</v>
      </c>
      <c r="C26" s="675"/>
    </row>
    <row r="27" spans="1:14" ht="26.25" customHeight="1" x14ac:dyDescent="0.4">
      <c r="A27" s="485" t="s">
        <v>48</v>
      </c>
      <c r="B27" s="681" t="s">
        <v>136</v>
      </c>
      <c r="C27" s="681"/>
    </row>
    <row r="28" spans="1:14" ht="27" customHeight="1" x14ac:dyDescent="0.4">
      <c r="A28" s="485" t="s">
        <v>6</v>
      </c>
      <c r="B28" s="486">
        <v>97.21</v>
      </c>
    </row>
    <row r="29" spans="1:14" s="14" customFormat="1" ht="27" customHeight="1" x14ac:dyDescent="0.4">
      <c r="A29" s="485" t="s">
        <v>49</v>
      </c>
      <c r="B29" s="487">
        <v>0</v>
      </c>
      <c r="C29" s="682" t="s">
        <v>50</v>
      </c>
      <c r="D29" s="683"/>
      <c r="E29" s="683"/>
      <c r="F29" s="683"/>
      <c r="G29" s="684"/>
      <c r="I29" s="488"/>
      <c r="J29" s="488"/>
      <c r="K29" s="488"/>
      <c r="L29" s="488"/>
    </row>
    <row r="30" spans="1:14" s="14" customFormat="1" ht="19.5" customHeight="1" x14ac:dyDescent="0.3">
      <c r="A30" s="485" t="s">
        <v>51</v>
      </c>
      <c r="B30" s="489">
        <f>B28-B29</f>
        <v>97.21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52</v>
      </c>
      <c r="B31" s="492">
        <v>1</v>
      </c>
      <c r="C31" s="685" t="s">
        <v>53</v>
      </c>
      <c r="D31" s="686"/>
      <c r="E31" s="686"/>
      <c r="F31" s="686"/>
      <c r="G31" s="686"/>
      <c r="H31" s="687"/>
      <c r="I31" s="488"/>
      <c r="J31" s="488"/>
      <c r="K31" s="488"/>
      <c r="L31" s="488"/>
    </row>
    <row r="32" spans="1:14" s="14" customFormat="1" ht="27" customHeight="1" x14ac:dyDescent="0.4">
      <c r="A32" s="485" t="s">
        <v>54</v>
      </c>
      <c r="B32" s="492">
        <v>1</v>
      </c>
      <c r="C32" s="685" t="s">
        <v>55</v>
      </c>
      <c r="D32" s="686"/>
      <c r="E32" s="686"/>
      <c r="F32" s="686"/>
      <c r="G32" s="686"/>
      <c r="H32" s="687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56</v>
      </c>
      <c r="B34" s="497">
        <f>B31/B32</f>
        <v>1</v>
      </c>
      <c r="C34" s="475" t="s">
        <v>57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58</v>
      </c>
      <c r="B36" s="499">
        <v>100</v>
      </c>
      <c r="C36" s="475"/>
      <c r="D36" s="688" t="s">
        <v>59</v>
      </c>
      <c r="E36" s="689"/>
      <c r="F36" s="688" t="s">
        <v>60</v>
      </c>
      <c r="G36" s="690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61</v>
      </c>
      <c r="B37" s="501">
        <v>1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66</v>
      </c>
      <c r="B38" s="501">
        <v>1</v>
      </c>
      <c r="C38" s="507">
        <v>1</v>
      </c>
      <c r="D38" s="508">
        <v>5302347</v>
      </c>
      <c r="E38" s="509">
        <f>IF(ISBLANK(D38),"-",$D$48/$D$45*D38)</f>
        <v>5657246.334353351</v>
      </c>
      <c r="F38" s="508">
        <v>6109806</v>
      </c>
      <c r="G38" s="510">
        <f>IF(ISBLANK(F38),"-",$D$48/$F$45*F38)</f>
        <v>5632706.8143703733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67</v>
      </c>
      <c r="B39" s="501">
        <v>1</v>
      </c>
      <c r="C39" s="512">
        <v>2</v>
      </c>
      <c r="D39" s="513">
        <v>5300153</v>
      </c>
      <c r="E39" s="514">
        <f>IF(ISBLANK(D39),"-",$D$48/$D$45*D39)</f>
        <v>5654905.484450927</v>
      </c>
      <c r="F39" s="513">
        <v>6200430</v>
      </c>
      <c r="G39" s="515">
        <f>IF(ISBLANK(F39),"-",$D$48/$F$45*F39)</f>
        <v>5716254.2170776771</v>
      </c>
      <c r="I39" s="692">
        <f>ABS((F43/D43*D42)-F42)/D42</f>
        <v>1.2589335713871729E-3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12">
        <v>3</v>
      </c>
      <c r="D40" s="513">
        <v>5243719</v>
      </c>
      <c r="E40" s="514">
        <f>IF(ISBLANK(D40),"-",$D$48/$D$45*D40)</f>
        <v>5594694.2158121718</v>
      </c>
      <c r="F40" s="513">
        <v>6048596</v>
      </c>
      <c r="G40" s="515">
        <f>IF(ISBLANK(F40),"-",$D$48/$F$45*F40)</f>
        <v>5576276.5473360987</v>
      </c>
      <c r="I40" s="692"/>
      <c r="L40" s="493"/>
      <c r="M40" s="493"/>
      <c r="N40" s="516"/>
    </row>
    <row r="41" spans="1:14" ht="27" customHeight="1" x14ac:dyDescent="0.4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70</v>
      </c>
      <c r="B42" s="501">
        <v>1</v>
      </c>
      <c r="C42" s="522" t="s">
        <v>71</v>
      </c>
      <c r="D42" s="523">
        <f>AVERAGE(D38:D41)</f>
        <v>5282073</v>
      </c>
      <c r="E42" s="524">
        <f>AVERAGE(E38:E41)</f>
        <v>5635615.3448721506</v>
      </c>
      <c r="F42" s="523">
        <f>AVERAGE(F38:F41)</f>
        <v>6119610.666666667</v>
      </c>
      <c r="G42" s="525">
        <f>AVERAGE(G38:G41)</f>
        <v>5641745.8595947167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23.14</v>
      </c>
      <c r="E43" s="516"/>
      <c r="F43" s="528">
        <v>26.78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23.14</v>
      </c>
      <c r="E44" s="531"/>
      <c r="F44" s="530">
        <f>F43*$B$34</f>
        <v>26.78</v>
      </c>
      <c r="H44" s="526"/>
    </row>
    <row r="45" spans="1:14" ht="19.5" customHeight="1" x14ac:dyDescent="0.3">
      <c r="A45" s="500" t="s">
        <v>76</v>
      </c>
      <c r="B45" s="532">
        <f>(B44/B43)*(B42/B41)*(B40/B39)*(B38/B37)*B36</f>
        <v>100</v>
      </c>
      <c r="C45" s="529" t="s">
        <v>77</v>
      </c>
      <c r="D45" s="533">
        <f>D44*$B$30/100</f>
        <v>22.494393999999996</v>
      </c>
      <c r="E45" s="534"/>
      <c r="F45" s="533">
        <f>F44*$B$30/100</f>
        <v>26.032838000000002</v>
      </c>
      <c r="H45" s="526"/>
    </row>
    <row r="46" spans="1:14" ht="19.5" customHeight="1" x14ac:dyDescent="0.3">
      <c r="A46" s="693" t="s">
        <v>78</v>
      </c>
      <c r="B46" s="694"/>
      <c r="C46" s="529" t="s">
        <v>79</v>
      </c>
      <c r="D46" s="535">
        <f>D45/$B$45</f>
        <v>0.22494393999999995</v>
      </c>
      <c r="E46" s="536"/>
      <c r="F46" s="537">
        <f>F45/$B$45</f>
        <v>0.26032838000000003</v>
      </c>
      <c r="H46" s="526"/>
    </row>
    <row r="47" spans="1:14" ht="27" customHeight="1" x14ac:dyDescent="0.4">
      <c r="A47" s="695"/>
      <c r="B47" s="696"/>
      <c r="C47" s="538" t="s">
        <v>80</v>
      </c>
      <c r="D47" s="539">
        <v>0.24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24</v>
      </c>
      <c r="F48" s="542"/>
      <c r="H48" s="526"/>
    </row>
    <row r="49" spans="1:12" ht="19.5" customHeight="1" x14ac:dyDescent="0.3">
      <c r="C49" s="543" t="s">
        <v>82</v>
      </c>
      <c r="D49" s="544">
        <f>D48/B34</f>
        <v>24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5638680.6022334332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8.8639003456960838E-3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475" t="s">
        <v>86</v>
      </c>
      <c r="B55" s="552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553" t="s">
        <v>87</v>
      </c>
      <c r="B56" s="554">
        <v>600</v>
      </c>
      <c r="C56" s="475" t="str">
        <f>B20</f>
        <v>EFFAVIRENZ</v>
      </c>
      <c r="H56" s="555"/>
    </row>
    <row r="57" spans="1:12" ht="18.75" x14ac:dyDescent="0.3">
      <c r="A57" s="552" t="s">
        <v>88</v>
      </c>
      <c r="B57" s="623">
        <f>Uniformity!C46</f>
        <v>1827.4694999999997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89</v>
      </c>
      <c r="B59" s="499">
        <v>200</v>
      </c>
      <c r="C59" s="475"/>
      <c r="D59" s="556" t="s">
        <v>90</v>
      </c>
      <c r="E59" s="557" t="s">
        <v>62</v>
      </c>
      <c r="F59" s="557" t="s">
        <v>63</v>
      </c>
      <c r="G59" s="557" t="s">
        <v>91</v>
      </c>
      <c r="H59" s="502" t="s">
        <v>92</v>
      </c>
      <c r="L59" s="488"/>
    </row>
    <row r="60" spans="1:12" s="14" customFormat="1" ht="26.25" customHeight="1" x14ac:dyDescent="0.4">
      <c r="A60" s="500" t="s">
        <v>93</v>
      </c>
      <c r="B60" s="501">
        <v>4</v>
      </c>
      <c r="C60" s="697" t="s">
        <v>94</v>
      </c>
      <c r="D60" s="700">
        <v>1819.81</v>
      </c>
      <c r="E60" s="558">
        <v>1</v>
      </c>
      <c r="F60" s="559">
        <v>5305545</v>
      </c>
      <c r="G60" s="624">
        <f>IF(ISBLANK(F60),"-",(F60/$D$50*$D$47*$B$68)*($B$57/$D$60))</f>
        <v>566.92792310819073</v>
      </c>
      <c r="H60" s="642">
        <f t="shared" ref="H60:H71" si="0">IF(ISBLANK(F60),"-",(G60/$B$56)*100)</f>
        <v>94.487987184698454</v>
      </c>
      <c r="L60" s="488"/>
    </row>
    <row r="61" spans="1:12" s="14" customFormat="1" ht="26.25" customHeight="1" x14ac:dyDescent="0.4">
      <c r="A61" s="500" t="s">
        <v>95</v>
      </c>
      <c r="B61" s="501">
        <v>50</v>
      </c>
      <c r="C61" s="698"/>
      <c r="D61" s="701"/>
      <c r="E61" s="560">
        <v>2</v>
      </c>
      <c r="F61" s="513">
        <v>5234347</v>
      </c>
      <c r="G61" s="625">
        <f>IF(ISBLANK(F61),"-",(F61/$D$50*$D$47*$B$68)*($B$57/$D$60))</f>
        <v>559.3200083191432</v>
      </c>
      <c r="H61" s="643">
        <f t="shared" si="0"/>
        <v>93.220001386523862</v>
      </c>
      <c r="L61" s="488"/>
    </row>
    <row r="62" spans="1:12" s="14" customFormat="1" ht="26.25" customHeight="1" x14ac:dyDescent="0.4">
      <c r="A62" s="500" t="s">
        <v>96</v>
      </c>
      <c r="B62" s="501">
        <v>1</v>
      </c>
      <c r="C62" s="698"/>
      <c r="D62" s="701"/>
      <c r="E62" s="560">
        <v>3</v>
      </c>
      <c r="F62" s="561">
        <v>5306505</v>
      </c>
      <c r="G62" s="625">
        <f>IF(ISBLANK(F62),"-",(F62/$D$50*$D$47*$B$68)*($B$57/$D$60))</f>
        <v>567.0305046160629</v>
      </c>
      <c r="H62" s="643">
        <f t="shared" si="0"/>
        <v>94.505084102677145</v>
      </c>
      <c r="L62" s="488"/>
    </row>
    <row r="63" spans="1:12" ht="27" customHeight="1" x14ac:dyDescent="0.4">
      <c r="A63" s="500" t="s">
        <v>97</v>
      </c>
      <c r="B63" s="501">
        <v>1</v>
      </c>
      <c r="C63" s="699"/>
      <c r="D63" s="702"/>
      <c r="E63" s="562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697" t="s">
        <v>99</v>
      </c>
      <c r="D64" s="700">
        <v>1816.86</v>
      </c>
      <c r="E64" s="558">
        <v>1</v>
      </c>
      <c r="F64" s="559"/>
      <c r="G64" s="624" t="str">
        <f>IF(ISBLANK(F64),"-",(F64/$D$50*$D$47*$B$68)*($B$57/$D$64))</f>
        <v>-</v>
      </c>
      <c r="H64" s="642" t="str">
        <f t="shared" si="0"/>
        <v>-</v>
      </c>
    </row>
    <row r="65" spans="1:8" ht="26.25" customHeight="1" x14ac:dyDescent="0.4">
      <c r="A65" s="500" t="s">
        <v>100</v>
      </c>
      <c r="B65" s="501">
        <v>1</v>
      </c>
      <c r="C65" s="698"/>
      <c r="D65" s="701"/>
      <c r="E65" s="560">
        <v>2</v>
      </c>
      <c r="F65" s="513"/>
      <c r="G65" s="625" t="str">
        <f>IF(ISBLANK(F65),"-",(F65/$D$50*$D$47*$B$68)*($B$57/$D$64))</f>
        <v>-</v>
      </c>
      <c r="H65" s="643" t="str">
        <f t="shared" si="0"/>
        <v>-</v>
      </c>
    </row>
    <row r="66" spans="1:8" ht="26.25" customHeight="1" x14ac:dyDescent="0.4">
      <c r="A66" s="500" t="s">
        <v>101</v>
      </c>
      <c r="B66" s="501">
        <v>1</v>
      </c>
      <c r="C66" s="698"/>
      <c r="D66" s="701"/>
      <c r="E66" s="560">
        <v>3</v>
      </c>
      <c r="F66" s="513"/>
      <c r="G66" s="625" t="str">
        <f>IF(ISBLANK(F66),"-",(F66/$D$50*$D$47*$B$68)*($B$57/$D$64))</f>
        <v>-</v>
      </c>
      <c r="H66" s="643" t="str">
        <f t="shared" si="0"/>
        <v>-</v>
      </c>
    </row>
    <row r="67" spans="1:8" ht="27" customHeight="1" x14ac:dyDescent="0.4">
      <c r="A67" s="500" t="s">
        <v>102</v>
      </c>
      <c r="B67" s="501">
        <v>1</v>
      </c>
      <c r="C67" s="699"/>
      <c r="D67" s="702"/>
      <c r="E67" s="562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2500</v>
      </c>
      <c r="C68" s="697" t="s">
        <v>104</v>
      </c>
      <c r="D68" s="700">
        <f>Lamivudine!D68</f>
        <v>1828.32</v>
      </c>
      <c r="E68" s="558">
        <v>1</v>
      </c>
      <c r="F68" s="559">
        <v>5159569</v>
      </c>
      <c r="G68" s="624">
        <f>IF(ISBLANK(F68),"-",(F68/$D$50*$D$47*$B$68)*($B$57/$D$68))</f>
        <v>548.76336110084037</v>
      </c>
      <c r="H68" s="643">
        <f t="shared" si="0"/>
        <v>91.46056018347339</v>
      </c>
    </row>
    <row r="69" spans="1:8" ht="27" customHeight="1" x14ac:dyDescent="0.4">
      <c r="A69" s="548" t="s">
        <v>105</v>
      </c>
      <c r="B69" s="565">
        <f>(D47*B68)/B56*B57</f>
        <v>1827.4694999999997</v>
      </c>
      <c r="C69" s="698"/>
      <c r="D69" s="701"/>
      <c r="E69" s="560">
        <v>2</v>
      </c>
      <c r="F69" s="513">
        <v>5182071</v>
      </c>
      <c r="G69" s="625">
        <f>IF(ISBLANK(F69),"-",(F69/$D$50*$D$47*$B$68)*($B$57/$D$68))</f>
        <v>551.15663719647762</v>
      </c>
      <c r="H69" s="643">
        <f t="shared" si="0"/>
        <v>91.859439532746265</v>
      </c>
    </row>
    <row r="70" spans="1:8" ht="26.25" customHeight="1" x14ac:dyDescent="0.4">
      <c r="A70" s="710" t="s">
        <v>78</v>
      </c>
      <c r="B70" s="711"/>
      <c r="C70" s="698"/>
      <c r="D70" s="701"/>
      <c r="E70" s="560">
        <v>3</v>
      </c>
      <c r="F70" s="513">
        <v>5185455</v>
      </c>
      <c r="G70" s="625">
        <f>IF(ISBLANK(F70),"-",(F70/$D$50*$D$47*$B$68)*($B$57/$D$68))</f>
        <v>551.51655392866303</v>
      </c>
      <c r="H70" s="643">
        <f t="shared" si="0"/>
        <v>91.919425654777172</v>
      </c>
    </row>
    <row r="71" spans="1:8" ht="27" customHeight="1" x14ac:dyDescent="0.4">
      <c r="A71" s="712"/>
      <c r="B71" s="713"/>
      <c r="C71" s="709"/>
      <c r="D71" s="702"/>
      <c r="E71" s="562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71</v>
      </c>
      <c r="G72" s="630">
        <f>AVERAGE(G60:G71)</f>
        <v>557.45249804489629</v>
      </c>
      <c r="H72" s="645">
        <f>AVERAGE(H60:H71)</f>
        <v>92.908749674149362</v>
      </c>
    </row>
    <row r="73" spans="1:8" ht="26.25" customHeight="1" x14ac:dyDescent="0.4">
      <c r="C73" s="566"/>
      <c r="D73" s="566"/>
      <c r="E73" s="566"/>
      <c r="F73" s="569" t="s">
        <v>84</v>
      </c>
      <c r="G73" s="629">
        <f>STDEV(G60:G71)/G72</f>
        <v>1.46919088548432E-2</v>
      </c>
      <c r="H73" s="629">
        <f>STDEV(H60:H71)/H72</f>
        <v>1.4691908854843208E-2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6</v>
      </c>
      <c r="H74" s="572">
        <f>COUNT(H60:H71)</f>
        <v>6</v>
      </c>
    </row>
    <row r="76" spans="1:8" ht="26.25" customHeight="1" x14ac:dyDescent="0.4">
      <c r="A76" s="484" t="s">
        <v>106</v>
      </c>
      <c r="B76" s="573" t="s">
        <v>107</v>
      </c>
      <c r="C76" s="705" t="str">
        <f>B26</f>
        <v>EFFAVIRENZ</v>
      </c>
      <c r="D76" s="705"/>
      <c r="E76" s="574" t="s">
        <v>108</v>
      </c>
      <c r="F76" s="574"/>
      <c r="G76" s="661">
        <f>H72</f>
        <v>92.908749674149362</v>
      </c>
      <c r="H76" s="57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691" t="str">
        <f>B26</f>
        <v>EFFAVIRENZ</v>
      </c>
      <c r="C79" s="691"/>
    </row>
    <row r="80" spans="1:8" ht="26.25" customHeight="1" x14ac:dyDescent="0.4">
      <c r="A80" s="485" t="s">
        <v>48</v>
      </c>
      <c r="B80" s="691" t="str">
        <f>B27</f>
        <v>E15-6</v>
      </c>
      <c r="C80" s="691"/>
    </row>
    <row r="81" spans="1:12" ht="27" customHeight="1" x14ac:dyDescent="0.4">
      <c r="A81" s="485" t="s">
        <v>6</v>
      </c>
      <c r="B81" s="577">
        <f>B28</f>
        <v>97.21</v>
      </c>
    </row>
    <row r="82" spans="1:12" s="14" customFormat="1" ht="27" customHeight="1" x14ac:dyDescent="0.4">
      <c r="A82" s="485" t="s">
        <v>49</v>
      </c>
      <c r="B82" s="487">
        <v>0</v>
      </c>
      <c r="C82" s="682" t="s">
        <v>50</v>
      </c>
      <c r="D82" s="683"/>
      <c r="E82" s="683"/>
      <c r="F82" s="683"/>
      <c r="G82" s="684"/>
      <c r="I82" s="488"/>
      <c r="J82" s="488"/>
      <c r="K82" s="488"/>
      <c r="L82" s="488"/>
    </row>
    <row r="83" spans="1:12" s="14" customFormat="1" ht="19.5" customHeight="1" x14ac:dyDescent="0.3">
      <c r="A83" s="485" t="s">
        <v>51</v>
      </c>
      <c r="B83" s="489">
        <f>B81-B82</f>
        <v>97.21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4" customFormat="1" ht="27" customHeight="1" x14ac:dyDescent="0.4">
      <c r="A84" s="485" t="s">
        <v>52</v>
      </c>
      <c r="B84" s="492">
        <v>1</v>
      </c>
      <c r="C84" s="685" t="s">
        <v>111</v>
      </c>
      <c r="D84" s="686"/>
      <c r="E84" s="686"/>
      <c r="F84" s="686"/>
      <c r="G84" s="686"/>
      <c r="H84" s="687"/>
      <c r="I84" s="488"/>
      <c r="J84" s="488"/>
      <c r="K84" s="488"/>
      <c r="L84" s="488"/>
    </row>
    <row r="85" spans="1:12" s="14" customFormat="1" ht="27" customHeight="1" x14ac:dyDescent="0.4">
      <c r="A85" s="485" t="s">
        <v>54</v>
      </c>
      <c r="B85" s="492">
        <v>1</v>
      </c>
      <c r="C85" s="685" t="s">
        <v>112</v>
      </c>
      <c r="D85" s="686"/>
      <c r="E85" s="686"/>
      <c r="F85" s="686"/>
      <c r="G85" s="686"/>
      <c r="H85" s="687"/>
      <c r="I85" s="488"/>
      <c r="J85" s="488"/>
      <c r="K85" s="488"/>
      <c r="L85" s="488"/>
    </row>
    <row r="86" spans="1:12" s="14" customFormat="1" ht="18.75" x14ac:dyDescent="0.3">
      <c r="A86" s="4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4" customFormat="1" ht="18.75" x14ac:dyDescent="0.3">
      <c r="A87" s="485" t="s">
        <v>56</v>
      </c>
      <c r="B87" s="497">
        <f>B84/B85</f>
        <v>1</v>
      </c>
      <c r="C87" s="475" t="s">
        <v>57</v>
      </c>
      <c r="D87" s="475"/>
      <c r="E87" s="475"/>
      <c r="F87" s="475"/>
      <c r="G87" s="475"/>
      <c r="I87" s="488"/>
      <c r="J87" s="488"/>
      <c r="K87" s="488"/>
      <c r="L87" s="488"/>
    </row>
    <row r="88" spans="1:12" ht="19.5" customHeight="1" x14ac:dyDescent="0.3">
      <c r="A88" s="483"/>
      <c r="B88" s="483"/>
    </row>
    <row r="89" spans="1:12" ht="27" customHeight="1" x14ac:dyDescent="0.4">
      <c r="A89" s="498" t="s">
        <v>58</v>
      </c>
      <c r="B89" s="499">
        <v>50</v>
      </c>
      <c r="D89" s="578" t="s">
        <v>59</v>
      </c>
      <c r="E89" s="579"/>
      <c r="F89" s="688" t="s">
        <v>60</v>
      </c>
      <c r="G89" s="690"/>
    </row>
    <row r="90" spans="1:12" ht="27" customHeight="1" x14ac:dyDescent="0.4">
      <c r="A90" s="500" t="s">
        <v>61</v>
      </c>
      <c r="B90" s="501">
        <v>1</v>
      </c>
      <c r="C90" s="580" t="s">
        <v>62</v>
      </c>
      <c r="D90" s="503" t="s">
        <v>63</v>
      </c>
      <c r="E90" s="504" t="s">
        <v>64</v>
      </c>
      <c r="F90" s="503" t="s">
        <v>63</v>
      </c>
      <c r="G90" s="581" t="s">
        <v>64</v>
      </c>
      <c r="I90" s="506" t="s">
        <v>65</v>
      </c>
    </row>
    <row r="91" spans="1:12" ht="26.25" customHeight="1" x14ac:dyDescent="0.4">
      <c r="A91" s="500" t="s">
        <v>66</v>
      </c>
      <c r="B91" s="501">
        <v>1</v>
      </c>
      <c r="C91" s="582">
        <v>1</v>
      </c>
      <c r="D91" s="508">
        <v>3221224</v>
      </c>
      <c r="E91" s="509">
        <f>IF(ISBLANK(D91),"-",$D$101/$D$98*D91)</f>
        <v>3542774.9976298828</v>
      </c>
      <c r="F91" s="508">
        <v>3218183</v>
      </c>
      <c r="G91" s="510">
        <f>IF(ISBLANK(F91),"-",$D$101/$F$98*F91)</f>
        <v>3594513.8640602678</v>
      </c>
      <c r="I91" s="511"/>
    </row>
    <row r="92" spans="1:12" ht="26.25" customHeight="1" x14ac:dyDescent="0.4">
      <c r="A92" s="500" t="s">
        <v>67</v>
      </c>
      <c r="B92" s="501">
        <v>1</v>
      </c>
      <c r="C92" s="567">
        <v>2</v>
      </c>
      <c r="D92" s="513">
        <v>3154656</v>
      </c>
      <c r="E92" s="514">
        <f>IF(ISBLANK(D92),"-",$D$101/$D$98*D92)</f>
        <v>3469562.0059092739</v>
      </c>
      <c r="F92" s="513">
        <v>3217650</v>
      </c>
      <c r="G92" s="515">
        <f>IF(ISBLANK(F92),"-",$D$101/$F$98*F92)</f>
        <v>3593918.5356126488</v>
      </c>
      <c r="I92" s="692">
        <f>ABS((F96/D96*D95)-F95)/D95</f>
        <v>2.8209473052815303E-2</v>
      </c>
    </row>
    <row r="93" spans="1:12" ht="26.25" customHeight="1" x14ac:dyDescent="0.4">
      <c r="A93" s="500" t="s">
        <v>68</v>
      </c>
      <c r="B93" s="501">
        <v>1</v>
      </c>
      <c r="C93" s="567">
        <v>3</v>
      </c>
      <c r="D93" s="513">
        <v>3155156</v>
      </c>
      <c r="E93" s="514">
        <f>IF(ISBLANK(D93),"-",$D$101/$D$98*D93)</f>
        <v>3470111.9172159126</v>
      </c>
      <c r="F93" s="513">
        <v>3218012</v>
      </c>
      <c r="G93" s="515">
        <f>IF(ISBLANK(F93),"-",$D$101/$F$98*F93)</f>
        <v>3594322.8675039024</v>
      </c>
      <c r="I93" s="692"/>
    </row>
    <row r="94" spans="1:12" ht="27" customHeight="1" x14ac:dyDescent="0.4">
      <c r="A94" s="500" t="s">
        <v>69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x14ac:dyDescent="0.4">
      <c r="A95" s="500" t="s">
        <v>70</v>
      </c>
      <c r="B95" s="501">
        <v>1</v>
      </c>
      <c r="C95" s="585" t="s">
        <v>71</v>
      </c>
      <c r="D95" s="586">
        <f>AVERAGE(D91:D94)</f>
        <v>3177012</v>
      </c>
      <c r="E95" s="524">
        <f>AVERAGE(E91:E94)</f>
        <v>3494149.6402516901</v>
      </c>
      <c r="F95" s="587">
        <f>AVERAGE(F91:F94)</f>
        <v>3217948.3333333335</v>
      </c>
      <c r="G95" s="588">
        <f>AVERAGE(G91:G94)</f>
        <v>3594251.7557256059</v>
      </c>
    </row>
    <row r="96" spans="1:12" ht="26.25" customHeight="1" x14ac:dyDescent="0.4">
      <c r="A96" s="500" t="s">
        <v>72</v>
      </c>
      <c r="B96" s="486">
        <v>1</v>
      </c>
      <c r="C96" s="589" t="s">
        <v>113</v>
      </c>
      <c r="D96" s="590">
        <v>28.06</v>
      </c>
      <c r="E96" s="516"/>
      <c r="F96" s="528">
        <v>27.63</v>
      </c>
    </row>
    <row r="97" spans="1:10" ht="26.25" customHeight="1" x14ac:dyDescent="0.4">
      <c r="A97" s="500" t="s">
        <v>74</v>
      </c>
      <c r="B97" s="486">
        <v>1</v>
      </c>
      <c r="C97" s="591" t="s">
        <v>114</v>
      </c>
      <c r="D97" s="592">
        <f>D96*$B$87</f>
        <v>28.06</v>
      </c>
      <c r="E97" s="531"/>
      <c r="F97" s="530">
        <f>F96*$B$87</f>
        <v>27.63</v>
      </c>
    </row>
    <row r="98" spans="1:10" ht="19.5" customHeight="1" x14ac:dyDescent="0.3">
      <c r="A98" s="500" t="s">
        <v>76</v>
      </c>
      <c r="B98" s="593">
        <f>(B97/B96)*(B95/B94)*(B93/B92)*(B91/B90)*B89</f>
        <v>50</v>
      </c>
      <c r="C98" s="591" t="s">
        <v>115</v>
      </c>
      <c r="D98" s="594">
        <f>D97*$B$83/100</f>
        <v>27.277125999999999</v>
      </c>
      <c r="E98" s="534"/>
      <c r="F98" s="533">
        <f>F97*$B$83/100</f>
        <v>26.859122999999997</v>
      </c>
    </row>
    <row r="99" spans="1:10" ht="19.5" customHeight="1" x14ac:dyDescent="0.3">
      <c r="A99" s="693" t="s">
        <v>78</v>
      </c>
      <c r="B99" s="707"/>
      <c r="C99" s="591" t="s">
        <v>116</v>
      </c>
      <c r="D99" s="595">
        <f>D98/$B$98</f>
        <v>0.54554252000000003</v>
      </c>
      <c r="E99" s="534"/>
      <c r="F99" s="537">
        <f>F98/$B$98</f>
        <v>0.53718245999999992</v>
      </c>
      <c r="G99" s="596"/>
      <c r="H99" s="526"/>
    </row>
    <row r="100" spans="1:10" ht="19.5" customHeight="1" x14ac:dyDescent="0.3">
      <c r="A100" s="695"/>
      <c r="B100" s="708"/>
      <c r="C100" s="591" t="s">
        <v>80</v>
      </c>
      <c r="D100" s="597">
        <f>$B$56/$B$116</f>
        <v>0.6</v>
      </c>
      <c r="F100" s="542"/>
      <c r="G100" s="598"/>
      <c r="H100" s="526"/>
    </row>
    <row r="101" spans="1:10" ht="18.75" x14ac:dyDescent="0.3">
      <c r="C101" s="591" t="s">
        <v>81</v>
      </c>
      <c r="D101" s="592">
        <f>D100*$B$98</f>
        <v>30</v>
      </c>
      <c r="F101" s="542"/>
      <c r="G101" s="596"/>
      <c r="H101" s="526"/>
    </row>
    <row r="102" spans="1:10" ht="19.5" customHeight="1" x14ac:dyDescent="0.3">
      <c r="C102" s="599" t="s">
        <v>82</v>
      </c>
      <c r="D102" s="600">
        <f>D101/B34</f>
        <v>30</v>
      </c>
      <c r="F102" s="546"/>
      <c r="G102" s="596"/>
      <c r="H102" s="526"/>
      <c r="J102" s="601"/>
    </row>
    <row r="103" spans="1:10" ht="18.75" x14ac:dyDescent="0.3">
      <c r="C103" s="602" t="s">
        <v>117</v>
      </c>
      <c r="D103" s="603">
        <f>AVERAGE(E91:E94,G91:G94)</f>
        <v>3544200.6979886484</v>
      </c>
      <c r="F103" s="546"/>
      <c r="G103" s="604"/>
      <c r="H103" s="526"/>
      <c r="J103" s="605"/>
    </row>
    <row r="104" spans="1:10" ht="18.75" x14ac:dyDescent="0.3">
      <c r="C104" s="569" t="s">
        <v>84</v>
      </c>
      <c r="D104" s="606">
        <f>STDEV(E91:E94,G91:G94)/D103</f>
        <v>1.7198547869007184E-2</v>
      </c>
      <c r="F104" s="546"/>
      <c r="G104" s="596"/>
      <c r="H104" s="526"/>
      <c r="J104" s="605"/>
    </row>
    <row r="105" spans="1:10" ht="19.5" customHeight="1" x14ac:dyDescent="0.3">
      <c r="C105" s="571" t="s">
        <v>20</v>
      </c>
      <c r="D105" s="607">
        <f>COUNT(E91:E94,G91:G94)</f>
        <v>6</v>
      </c>
      <c r="F105" s="546"/>
      <c r="G105" s="596"/>
      <c r="H105" s="526"/>
      <c r="J105" s="605"/>
    </row>
    <row r="106" spans="1:10" ht="19.5" customHeight="1" x14ac:dyDescent="0.3">
      <c r="A106" s="550"/>
      <c r="B106" s="550"/>
      <c r="C106" s="550"/>
      <c r="D106" s="550"/>
      <c r="E106" s="550"/>
    </row>
    <row r="107" spans="1:10" ht="27" customHeight="1" x14ac:dyDescent="0.4">
      <c r="A107" s="498" t="s">
        <v>118</v>
      </c>
      <c r="B107" s="499">
        <v>1000</v>
      </c>
      <c r="C107" s="646" t="s">
        <v>119</v>
      </c>
      <c r="D107" s="646" t="s">
        <v>63</v>
      </c>
      <c r="E107" s="646" t="s">
        <v>120</v>
      </c>
      <c r="F107" s="608" t="s">
        <v>121</v>
      </c>
    </row>
    <row r="108" spans="1:10" ht="26.25" customHeight="1" x14ac:dyDescent="0.4">
      <c r="A108" s="500" t="s">
        <v>122</v>
      </c>
      <c r="B108" s="501">
        <v>1</v>
      </c>
      <c r="C108" s="651">
        <v>1</v>
      </c>
      <c r="D108" s="652">
        <v>3151909</v>
      </c>
      <c r="E108" s="626">
        <f t="shared" ref="E108:E113" si="1">IF(ISBLANK(D108),"-",D108/$D$103*$D$100*$B$116)</f>
        <v>533.58868787347012</v>
      </c>
      <c r="F108" s="653">
        <f t="shared" ref="F108:F113" si="2">IF(ISBLANK(D108), "-", (E108/$B$56)*100)</f>
        <v>88.931447978911677</v>
      </c>
    </row>
    <row r="109" spans="1:10" ht="26.25" customHeight="1" x14ac:dyDescent="0.4">
      <c r="A109" s="500" t="s">
        <v>95</v>
      </c>
      <c r="B109" s="501">
        <v>1</v>
      </c>
      <c r="C109" s="647">
        <v>2</v>
      </c>
      <c r="D109" s="649">
        <v>3354609</v>
      </c>
      <c r="E109" s="627">
        <f t="shared" si="1"/>
        <v>567.90390034691166</v>
      </c>
      <c r="F109" s="654">
        <f t="shared" si="2"/>
        <v>94.650650057818609</v>
      </c>
    </row>
    <row r="110" spans="1:10" ht="26.25" customHeight="1" x14ac:dyDescent="0.4">
      <c r="A110" s="500" t="s">
        <v>96</v>
      </c>
      <c r="B110" s="501">
        <v>1</v>
      </c>
      <c r="C110" s="647">
        <v>3</v>
      </c>
      <c r="D110" s="649">
        <v>3353858</v>
      </c>
      <c r="E110" s="627">
        <f t="shared" si="1"/>
        <v>567.7767630772147</v>
      </c>
      <c r="F110" s="654">
        <f t="shared" si="2"/>
        <v>94.629460512869116</v>
      </c>
    </row>
    <row r="111" spans="1:10" ht="26.25" customHeight="1" x14ac:dyDescent="0.4">
      <c r="A111" s="500" t="s">
        <v>97</v>
      </c>
      <c r="B111" s="501">
        <v>1</v>
      </c>
      <c r="C111" s="647">
        <v>4</v>
      </c>
      <c r="D111" s="649">
        <v>3344557</v>
      </c>
      <c r="E111" s="627">
        <f t="shared" si="1"/>
        <v>566.20219084625535</v>
      </c>
      <c r="F111" s="654">
        <f t="shared" si="2"/>
        <v>94.367031807709225</v>
      </c>
    </row>
    <row r="112" spans="1:10" ht="26.25" customHeight="1" x14ac:dyDescent="0.4">
      <c r="A112" s="500" t="s">
        <v>98</v>
      </c>
      <c r="B112" s="501">
        <v>1</v>
      </c>
      <c r="C112" s="647">
        <v>5</v>
      </c>
      <c r="D112" s="649">
        <v>3344610</v>
      </c>
      <c r="E112" s="627">
        <f t="shared" si="1"/>
        <v>566.21116325010883</v>
      </c>
      <c r="F112" s="654">
        <f t="shared" si="2"/>
        <v>94.368527208351466</v>
      </c>
    </row>
    <row r="113" spans="1:10" ht="27" customHeight="1" x14ac:dyDescent="0.4">
      <c r="A113" s="500" t="s">
        <v>100</v>
      </c>
      <c r="B113" s="501">
        <v>1</v>
      </c>
      <c r="C113" s="648">
        <v>6</v>
      </c>
      <c r="D113" s="650">
        <v>3343934</v>
      </c>
      <c r="E113" s="628">
        <f t="shared" si="1"/>
        <v>566.09672277831771</v>
      </c>
      <c r="F113" s="655">
        <f t="shared" si="2"/>
        <v>94.349453796386285</v>
      </c>
    </row>
    <row r="114" spans="1:10" ht="27" customHeight="1" x14ac:dyDescent="0.4">
      <c r="A114" s="500" t="s">
        <v>101</v>
      </c>
      <c r="B114" s="501">
        <v>1</v>
      </c>
      <c r="C114" s="609"/>
      <c r="D114" s="567"/>
      <c r="E114" s="474"/>
      <c r="F114" s="656"/>
    </row>
    <row r="115" spans="1:10" ht="26.25" customHeight="1" x14ac:dyDescent="0.4">
      <c r="A115" s="500" t="s">
        <v>102</v>
      </c>
      <c r="B115" s="501">
        <v>1</v>
      </c>
      <c r="C115" s="609"/>
      <c r="D115" s="633" t="s">
        <v>71</v>
      </c>
      <c r="E115" s="635">
        <f>AVERAGE(E108:E113)</f>
        <v>561.29657136204639</v>
      </c>
      <c r="F115" s="657">
        <f>AVERAGE(F108:F113)</f>
        <v>93.54942856034107</v>
      </c>
    </row>
    <row r="116" spans="1:10" ht="27" customHeight="1" x14ac:dyDescent="0.4">
      <c r="A116" s="500" t="s">
        <v>103</v>
      </c>
      <c r="B116" s="532">
        <f>(B115/B114)*(B113/B112)*(B111/B110)*(B109/B108)*B107</f>
        <v>1000</v>
      </c>
      <c r="C116" s="610"/>
      <c r="D116" s="634" t="s">
        <v>84</v>
      </c>
      <c r="E116" s="632">
        <f>STDEV(E108:E113)/E115</f>
        <v>2.4227470209115198E-2</v>
      </c>
      <c r="F116" s="611">
        <f>STDEV(F108:F113)/F115</f>
        <v>2.4227470209115236E-2</v>
      </c>
      <c r="I116" s="474"/>
    </row>
    <row r="117" spans="1:10" ht="27" customHeight="1" x14ac:dyDescent="0.4">
      <c r="A117" s="693" t="s">
        <v>78</v>
      </c>
      <c r="B117" s="694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474"/>
      <c r="J117" s="605"/>
    </row>
    <row r="118" spans="1:10" ht="26.25" customHeight="1" x14ac:dyDescent="0.3">
      <c r="A118" s="695"/>
      <c r="B118" s="696"/>
      <c r="C118" s="474"/>
      <c r="D118" s="636"/>
      <c r="E118" s="673" t="s">
        <v>123</v>
      </c>
      <c r="F118" s="674"/>
      <c r="G118" s="474"/>
      <c r="H118" s="474"/>
      <c r="I118" s="474"/>
    </row>
    <row r="119" spans="1:10" ht="25.5" customHeight="1" x14ac:dyDescent="0.4">
      <c r="A119" s="621"/>
      <c r="B119" s="496"/>
      <c r="C119" s="474"/>
      <c r="D119" s="634" t="s">
        <v>124</v>
      </c>
      <c r="E119" s="639">
        <f>MIN(E108:E113)</f>
        <v>533.58868787347012</v>
      </c>
      <c r="F119" s="658">
        <f>MIN(F108:F113)</f>
        <v>88.931447978911677</v>
      </c>
      <c r="G119" s="474"/>
      <c r="H119" s="474"/>
      <c r="I119" s="474"/>
    </row>
    <row r="120" spans="1:10" ht="24" customHeight="1" x14ac:dyDescent="0.4">
      <c r="A120" s="621"/>
      <c r="B120" s="496"/>
      <c r="C120" s="474"/>
      <c r="D120" s="543" t="s">
        <v>125</v>
      </c>
      <c r="E120" s="640">
        <f>MAX(E108:E113)</f>
        <v>567.90390034691166</v>
      </c>
      <c r="F120" s="659">
        <f>MAX(F108:F113)</f>
        <v>94.650650057818609</v>
      </c>
      <c r="G120" s="474"/>
      <c r="H120" s="474"/>
      <c r="I120" s="474"/>
    </row>
    <row r="121" spans="1:10" ht="27" customHeight="1" x14ac:dyDescent="0.3">
      <c r="A121" s="621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21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21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106</v>
      </c>
      <c r="B124" s="573" t="s">
        <v>126</v>
      </c>
      <c r="C124" s="705" t="str">
        <f>B26</f>
        <v>EFFAVIRENZ</v>
      </c>
      <c r="D124" s="705"/>
      <c r="E124" s="574" t="s">
        <v>127</v>
      </c>
      <c r="F124" s="574"/>
      <c r="G124" s="660">
        <f>F115</f>
        <v>93.54942856034107</v>
      </c>
      <c r="H124" s="474"/>
      <c r="I124" s="474"/>
    </row>
    <row r="125" spans="1:10" ht="45.75" customHeight="1" x14ac:dyDescent="0.65">
      <c r="A125" s="484"/>
      <c r="B125" s="573" t="s">
        <v>128</v>
      </c>
      <c r="C125" s="485" t="s">
        <v>129</v>
      </c>
      <c r="D125" s="660">
        <f>MIN(F108:F113)</f>
        <v>88.931447978911677</v>
      </c>
      <c r="E125" s="585" t="s">
        <v>130</v>
      </c>
      <c r="F125" s="660">
        <f>MAX(F108:F113)</f>
        <v>94.650650057818609</v>
      </c>
      <c r="G125" s="575"/>
      <c r="H125" s="474"/>
      <c r="I125" s="474"/>
    </row>
    <row r="126" spans="1:10" ht="19.5" customHeight="1" x14ac:dyDescent="0.3">
      <c r="A126" s="613"/>
      <c r="B126" s="613"/>
      <c r="C126" s="614"/>
      <c r="D126" s="614"/>
      <c r="E126" s="614"/>
      <c r="F126" s="614"/>
      <c r="G126" s="614"/>
      <c r="H126" s="614"/>
    </row>
    <row r="127" spans="1:10" ht="18.75" x14ac:dyDescent="0.3">
      <c r="B127" s="706" t="s">
        <v>26</v>
      </c>
      <c r="C127" s="706"/>
      <c r="E127" s="580" t="s">
        <v>27</v>
      </c>
      <c r="F127" s="615"/>
      <c r="G127" s="706" t="s">
        <v>28</v>
      </c>
      <c r="H127" s="706"/>
    </row>
    <row r="128" spans="1:10" ht="69.95" customHeight="1" x14ac:dyDescent="0.3">
      <c r="A128" s="616" t="s">
        <v>29</v>
      </c>
      <c r="B128" s="617"/>
      <c r="C128" s="617"/>
      <c r="E128" s="617"/>
      <c r="F128" s="474"/>
      <c r="G128" s="618"/>
      <c r="H128" s="618"/>
    </row>
    <row r="129" spans="1:9" ht="69.95" customHeight="1" x14ac:dyDescent="0.3">
      <c r="A129" s="616" t="s">
        <v>30</v>
      </c>
      <c r="B129" s="619"/>
      <c r="C129" s="619"/>
      <c r="E129" s="619"/>
      <c r="F129" s="474"/>
      <c r="G129" s="620"/>
      <c r="H129" s="620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zoomScale="75" zoomScaleNormal="75" workbookViewId="0">
      <selection activeCell="B20" sqref="B20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3" t="s">
        <v>0</v>
      </c>
      <c r="B15" s="663"/>
      <c r="C15" s="663"/>
      <c r="D15" s="663"/>
      <c r="E15" s="66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6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99.5</v>
      </c>
      <c r="C19" s="72"/>
      <c r="D19" s="72"/>
      <c r="E19" s="72"/>
    </row>
    <row r="20" spans="1:5" ht="16.5" customHeight="1" x14ac:dyDescent="0.3">
      <c r="A20" s="8" t="s">
        <v>8</v>
      </c>
      <c r="B20" s="12">
        <v>12.09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0.12089999999999999</v>
      </c>
      <c r="C21" s="72"/>
      <c r="D21" s="72"/>
      <c r="E21" s="72"/>
    </row>
    <row r="22" spans="1:5" ht="15.75" customHeight="1" x14ac:dyDescent="0.25">
      <c r="A22" s="72"/>
      <c r="B22" s="662">
        <v>43102.346747685187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12132949</v>
      </c>
      <c r="C24" s="18">
        <v>46210.9</v>
      </c>
      <c r="D24" s="19">
        <v>1.1000000000000001</v>
      </c>
      <c r="E24" s="20">
        <v>16.100000000000001</v>
      </c>
    </row>
    <row r="25" spans="1:5" ht="16.5" customHeight="1" x14ac:dyDescent="0.3">
      <c r="A25" s="17">
        <v>2</v>
      </c>
      <c r="B25" s="18">
        <v>12215775</v>
      </c>
      <c r="C25" s="18">
        <v>46661.3</v>
      </c>
      <c r="D25" s="19">
        <v>1.1000000000000001</v>
      </c>
      <c r="E25" s="19">
        <v>16.100000000000001</v>
      </c>
    </row>
    <row r="26" spans="1:5" ht="16.5" customHeight="1" x14ac:dyDescent="0.3">
      <c r="A26" s="17">
        <v>3</v>
      </c>
      <c r="B26" s="18">
        <v>12153165</v>
      </c>
      <c r="C26" s="18">
        <v>45301.8</v>
      </c>
      <c r="D26" s="19">
        <v>1.1000000000000001</v>
      </c>
      <c r="E26" s="19">
        <v>16.100000000000001</v>
      </c>
    </row>
    <row r="27" spans="1:5" ht="16.5" customHeight="1" x14ac:dyDescent="0.3">
      <c r="A27" s="17">
        <v>4</v>
      </c>
      <c r="B27" s="18">
        <v>12142663</v>
      </c>
      <c r="C27" s="18">
        <v>45533.7</v>
      </c>
      <c r="D27" s="19">
        <v>1.1000000000000001</v>
      </c>
      <c r="E27" s="19">
        <v>16.100000000000001</v>
      </c>
    </row>
    <row r="28" spans="1:5" ht="16.5" customHeight="1" x14ac:dyDescent="0.3">
      <c r="A28" s="17">
        <v>5</v>
      </c>
      <c r="B28" s="18">
        <v>12175084</v>
      </c>
      <c r="C28" s="18">
        <v>45886.2</v>
      </c>
      <c r="D28" s="19">
        <v>1.1000000000000001</v>
      </c>
      <c r="E28" s="19">
        <v>16.100000000000001</v>
      </c>
    </row>
    <row r="29" spans="1:5" ht="16.5" customHeight="1" x14ac:dyDescent="0.3">
      <c r="A29" s="17">
        <v>6</v>
      </c>
      <c r="B29" s="21">
        <v>12145511</v>
      </c>
      <c r="C29" s="21">
        <v>46035.3</v>
      </c>
      <c r="D29" s="22">
        <v>1.1000000000000001</v>
      </c>
      <c r="E29" s="22">
        <v>16.100000000000001</v>
      </c>
    </row>
    <row r="30" spans="1:5" ht="16.5" customHeight="1" x14ac:dyDescent="0.3">
      <c r="A30" s="23" t="s">
        <v>18</v>
      </c>
      <c r="B30" s="24">
        <f>AVERAGE(B24:B29)</f>
        <v>12160857.833333334</v>
      </c>
      <c r="C30" s="25">
        <f>AVERAGE(C24:C29)</f>
        <v>45938.200000000004</v>
      </c>
      <c r="D30" s="26">
        <f>AVERAGE(D24:D29)</f>
        <v>1.0999999999999999</v>
      </c>
      <c r="E30" s="26">
        <f>AVERAGE(E24:E29)</f>
        <v>16.099999999999998</v>
      </c>
    </row>
    <row r="31" spans="1:5" ht="16.5" customHeight="1" x14ac:dyDescent="0.3">
      <c r="A31" s="27" t="s">
        <v>19</v>
      </c>
      <c r="B31" s="28">
        <f>(STDEV(B24:B29)/B30)</f>
        <v>2.5004021552436054E-3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</v>
      </c>
      <c r="C40" s="72"/>
      <c r="D40" s="72"/>
      <c r="E40" s="72"/>
    </row>
    <row r="41" spans="1:5" ht="16.5" customHeight="1" x14ac:dyDescent="0.3">
      <c r="A41" s="8" t="s">
        <v>8</v>
      </c>
      <c r="B41" s="12">
        <v>13.11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0.26219999999999999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4682561</v>
      </c>
      <c r="C45" s="18">
        <v>95924</v>
      </c>
      <c r="D45" s="19">
        <v>1.07</v>
      </c>
      <c r="E45" s="20">
        <v>10.84</v>
      </c>
    </row>
    <row r="46" spans="1:5" ht="16.5" customHeight="1" x14ac:dyDescent="0.3">
      <c r="A46" s="17">
        <v>2</v>
      </c>
      <c r="B46" s="18">
        <v>4680332</v>
      </c>
      <c r="C46" s="18">
        <v>95852</v>
      </c>
      <c r="D46" s="19">
        <v>1.1000000000000001</v>
      </c>
      <c r="E46" s="19">
        <v>10.85</v>
      </c>
    </row>
    <row r="47" spans="1:5" ht="16.5" customHeight="1" x14ac:dyDescent="0.3">
      <c r="A47" s="17">
        <v>3</v>
      </c>
      <c r="B47" s="18">
        <v>4679752</v>
      </c>
      <c r="C47" s="18">
        <v>95219</v>
      </c>
      <c r="D47" s="19">
        <v>1.1100000000000001</v>
      </c>
      <c r="E47" s="19">
        <v>10.85</v>
      </c>
    </row>
    <row r="48" spans="1:5" ht="16.5" customHeight="1" x14ac:dyDescent="0.3">
      <c r="A48" s="17">
        <v>4</v>
      </c>
      <c r="B48" s="18">
        <v>4686625</v>
      </c>
      <c r="C48" s="18">
        <v>95398</v>
      </c>
      <c r="D48" s="19">
        <v>1.1100000000000001</v>
      </c>
      <c r="E48" s="19">
        <v>10.84</v>
      </c>
    </row>
    <row r="49" spans="1:7" ht="16.5" customHeight="1" x14ac:dyDescent="0.3">
      <c r="A49" s="17">
        <v>5</v>
      </c>
      <c r="B49" s="18">
        <v>4678226</v>
      </c>
      <c r="C49" s="18">
        <v>95304</v>
      </c>
      <c r="D49" s="19">
        <v>1.04</v>
      </c>
      <c r="E49" s="19">
        <v>10.85</v>
      </c>
    </row>
    <row r="50" spans="1:7" ht="16.5" customHeight="1" x14ac:dyDescent="0.3">
      <c r="A50" s="17">
        <v>6</v>
      </c>
      <c r="B50" s="21">
        <v>4678382</v>
      </c>
      <c r="C50" s="21">
        <v>95812</v>
      </c>
      <c r="D50" s="22">
        <v>1.05</v>
      </c>
      <c r="E50" s="22">
        <v>10.85</v>
      </c>
    </row>
    <row r="51" spans="1:7" ht="16.5" customHeight="1" x14ac:dyDescent="0.3">
      <c r="A51" s="23" t="s">
        <v>18</v>
      </c>
      <c r="B51" s="24">
        <f>AVERAGE(B45:B50)</f>
        <v>4680979.666666667</v>
      </c>
      <c r="C51" s="25">
        <f>AVERAGE(C45:C50)</f>
        <v>95584.833333333328</v>
      </c>
      <c r="D51" s="26">
        <f>AVERAGE(D45:D50)</f>
        <v>1.08</v>
      </c>
      <c r="E51" s="26">
        <f>AVERAGE(E45:E50)</f>
        <v>10.846666666666666</v>
      </c>
    </row>
    <row r="52" spans="1:7" ht="16.5" customHeight="1" x14ac:dyDescent="0.3">
      <c r="A52" s="27" t="s">
        <v>19</v>
      </c>
      <c r="B52" s="28">
        <f>(STDEV(B45:B50)/B51)</f>
        <v>6.7978548113743775E-4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64" t="s">
        <v>26</v>
      </c>
      <c r="C59" s="6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0" zoomScale="75" zoomScaleNormal="75" workbookViewId="0">
      <selection activeCell="C32" sqref="C32:H32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3" t="s">
        <v>0</v>
      </c>
      <c r="B15" s="663"/>
      <c r="C15" s="663"/>
      <c r="D15" s="663"/>
      <c r="E15" s="66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6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99.39</v>
      </c>
      <c r="C19" s="72"/>
      <c r="D19" s="72"/>
      <c r="E19" s="72"/>
    </row>
    <row r="20" spans="1:5" ht="16.5" customHeight="1" x14ac:dyDescent="0.3">
      <c r="A20" s="8" t="s">
        <v>8</v>
      </c>
      <c r="B20" s="12">
        <v>12.58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0.1258</v>
      </c>
      <c r="C21" s="72"/>
      <c r="D21" s="72"/>
      <c r="E21" s="72"/>
    </row>
    <row r="22" spans="1:5" ht="15.75" customHeight="1" x14ac:dyDescent="0.25">
      <c r="A22" s="72"/>
      <c r="B22" s="662">
        <v>43102.346747685187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24849997</v>
      </c>
      <c r="C24" s="18">
        <v>4911.7</v>
      </c>
      <c r="D24" s="19">
        <v>1.1000000000000001</v>
      </c>
      <c r="E24" s="20">
        <v>4.7</v>
      </c>
    </row>
    <row r="25" spans="1:5" ht="16.5" customHeight="1" x14ac:dyDescent="0.3">
      <c r="A25" s="17">
        <v>2</v>
      </c>
      <c r="B25" s="18">
        <v>25041288</v>
      </c>
      <c r="C25" s="18">
        <v>4970.5</v>
      </c>
      <c r="D25" s="19">
        <v>1.1000000000000001</v>
      </c>
      <c r="E25" s="19">
        <v>4.7</v>
      </c>
    </row>
    <row r="26" spans="1:5" ht="16.5" customHeight="1" x14ac:dyDescent="0.3">
      <c r="A26" s="17">
        <v>3</v>
      </c>
      <c r="B26" s="18">
        <v>25017735</v>
      </c>
      <c r="C26" s="18">
        <v>4956.6000000000004</v>
      </c>
      <c r="D26" s="19">
        <v>1</v>
      </c>
      <c r="E26" s="19">
        <v>4.7</v>
      </c>
    </row>
    <row r="27" spans="1:5" ht="16.5" customHeight="1" x14ac:dyDescent="0.3">
      <c r="A27" s="17">
        <v>4</v>
      </c>
      <c r="B27" s="18">
        <v>24932914</v>
      </c>
      <c r="C27" s="18">
        <v>4980.6000000000004</v>
      </c>
      <c r="D27" s="19">
        <v>1</v>
      </c>
      <c r="E27" s="19">
        <v>4.7</v>
      </c>
    </row>
    <row r="28" spans="1:5" ht="16.5" customHeight="1" x14ac:dyDescent="0.3">
      <c r="A28" s="17">
        <v>5</v>
      </c>
      <c r="B28" s="18">
        <v>24974243</v>
      </c>
      <c r="C28" s="18">
        <v>4988.7</v>
      </c>
      <c r="D28" s="19">
        <v>1</v>
      </c>
      <c r="E28" s="19">
        <v>4.7</v>
      </c>
    </row>
    <row r="29" spans="1:5" ht="16.5" customHeight="1" x14ac:dyDescent="0.3">
      <c r="A29" s="17">
        <v>6</v>
      </c>
      <c r="B29" s="21">
        <v>24878040</v>
      </c>
      <c r="C29" s="21">
        <v>5001</v>
      </c>
      <c r="D29" s="22">
        <v>1</v>
      </c>
      <c r="E29" s="22">
        <v>4.7</v>
      </c>
    </row>
    <row r="30" spans="1:5" ht="16.5" customHeight="1" x14ac:dyDescent="0.3">
      <c r="A30" s="23" t="s">
        <v>18</v>
      </c>
      <c r="B30" s="24">
        <f>AVERAGE(B24:B29)</f>
        <v>24949036.166666668</v>
      </c>
      <c r="C30" s="25">
        <f>AVERAGE(C24:C29)</f>
        <v>4968.1833333333334</v>
      </c>
      <c r="D30" s="26">
        <f>AVERAGE(D24:D29)</f>
        <v>1.0333333333333334</v>
      </c>
      <c r="E30" s="26">
        <f>AVERAGE(E24:E29)</f>
        <v>4.7</v>
      </c>
    </row>
    <row r="31" spans="1:5" ht="16.5" customHeight="1" x14ac:dyDescent="0.3">
      <c r="A31" s="27" t="s">
        <v>19</v>
      </c>
      <c r="B31" s="28">
        <f>(STDEV(B24:B29)/B30)</f>
        <v>3.0511870747184232E-3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99.39</v>
      </c>
      <c r="C40" s="72"/>
      <c r="D40" s="72"/>
      <c r="E40" s="72"/>
    </row>
    <row r="41" spans="1:5" ht="16.5" customHeight="1" x14ac:dyDescent="0.3">
      <c r="A41" s="8" t="s">
        <v>8</v>
      </c>
      <c r="B41" s="12">
        <v>17.03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0.34060000000000001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5936626</v>
      </c>
      <c r="C45" s="18">
        <v>3933</v>
      </c>
      <c r="D45" s="19">
        <v>0.98</v>
      </c>
      <c r="E45" s="20">
        <v>5.69</v>
      </c>
    </row>
    <row r="46" spans="1:5" ht="16.5" customHeight="1" x14ac:dyDescent="0.3">
      <c r="A46" s="17">
        <v>2</v>
      </c>
      <c r="B46" s="18">
        <v>5927957</v>
      </c>
      <c r="C46" s="18">
        <v>4072</v>
      </c>
      <c r="D46" s="19">
        <v>0.99</v>
      </c>
      <c r="E46" s="19">
        <v>5.71</v>
      </c>
    </row>
    <row r="47" spans="1:5" ht="16.5" customHeight="1" x14ac:dyDescent="0.3">
      <c r="A47" s="17">
        <v>3</v>
      </c>
      <c r="B47" s="18">
        <v>5919951</v>
      </c>
      <c r="C47" s="18">
        <v>4176</v>
      </c>
      <c r="D47" s="19">
        <v>1.01</v>
      </c>
      <c r="E47" s="19">
        <v>5.71</v>
      </c>
    </row>
    <row r="48" spans="1:5" ht="16.5" customHeight="1" x14ac:dyDescent="0.3">
      <c r="A48" s="17">
        <v>4</v>
      </c>
      <c r="B48" s="18">
        <v>5939553</v>
      </c>
      <c r="C48" s="18">
        <v>4172</v>
      </c>
      <c r="D48" s="19">
        <v>1</v>
      </c>
      <c r="E48" s="19">
        <v>5.7</v>
      </c>
    </row>
    <row r="49" spans="1:7" ht="16.5" customHeight="1" x14ac:dyDescent="0.3">
      <c r="A49" s="17">
        <v>5</v>
      </c>
      <c r="B49" s="18">
        <v>5933187</v>
      </c>
      <c r="C49" s="18">
        <v>4216</v>
      </c>
      <c r="D49" s="19">
        <v>1</v>
      </c>
      <c r="E49" s="19">
        <v>5.7</v>
      </c>
    </row>
    <row r="50" spans="1:7" ht="16.5" customHeight="1" x14ac:dyDescent="0.3">
      <c r="A50" s="17">
        <v>6</v>
      </c>
      <c r="B50" s="21">
        <v>5931070</v>
      </c>
      <c r="C50" s="21">
        <v>4212</v>
      </c>
      <c r="D50" s="22">
        <v>1</v>
      </c>
      <c r="E50" s="22">
        <v>5.7</v>
      </c>
    </row>
    <row r="51" spans="1:7" ht="16.5" customHeight="1" x14ac:dyDescent="0.3">
      <c r="A51" s="23" t="s">
        <v>18</v>
      </c>
      <c r="B51" s="24">
        <f>AVERAGE(B45:B50)</f>
        <v>5931390.666666667</v>
      </c>
      <c r="C51" s="25">
        <f>AVERAGE(C45:C50)</f>
        <v>4130.166666666667</v>
      </c>
      <c r="D51" s="26">
        <f>AVERAGE(D45:D50)</f>
        <v>0.9966666666666667</v>
      </c>
      <c r="E51" s="26">
        <f>AVERAGE(E45:E50)</f>
        <v>5.7016666666666671</v>
      </c>
    </row>
    <row r="52" spans="1:7" ht="16.5" customHeight="1" x14ac:dyDescent="0.3">
      <c r="A52" s="27" t="s">
        <v>19</v>
      </c>
      <c r="B52" s="28">
        <f>(STDEV(B45:B50)/B51)</f>
        <v>1.1681011412489767E-3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64" t="s">
        <v>26</v>
      </c>
      <c r="C59" s="6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 EFFAVIRENZ</vt:lpstr>
      <vt:lpstr>Uniformity</vt:lpstr>
      <vt:lpstr>Lamivudine</vt:lpstr>
      <vt:lpstr>Tenofovir Disoproxil Fumurate</vt:lpstr>
      <vt:lpstr>EFAVIRENZ</vt:lpstr>
      <vt:lpstr>SST TDF</vt:lpstr>
      <vt:lpstr>SST 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2018-03-05T09:55:42Z</cp:lastPrinted>
  <dcterms:created xsi:type="dcterms:W3CDTF">2005-07-05T10:19:27Z</dcterms:created>
  <dcterms:modified xsi:type="dcterms:W3CDTF">2018-03-05T09:58:41Z</dcterms:modified>
</cp:coreProperties>
</file>