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Feb\"/>
    </mc:Choice>
  </mc:AlternateContent>
  <bookViews>
    <workbookView xWindow="0" yWindow="0" windowWidth="20490" windowHeight="7650"/>
  </bookViews>
  <sheets>
    <sheet name="Atazanavir 1" sheetId="6" r:id="rId1"/>
    <sheet name="SST RITONAVIR" sheetId="1" r:id="rId2"/>
    <sheet name="Uniformity" sheetId="2" r:id="rId3"/>
    <sheet name="SST ATAZANAVIR" sheetId="5" r:id="rId4"/>
    <sheet name="RITONAVIR 1" sheetId="8" r:id="rId5"/>
  </sheets>
  <definedNames>
    <definedName name="_xlnm.Print_Area" localSheetId="0">'Atazanavir 1'!$A$1:$H$144</definedName>
    <definedName name="_xlnm.Print_Area" localSheetId="4">'RITONAVIR 1'!$A$1:$H$143</definedName>
    <definedName name="_xlnm.Print_Area" localSheetId="2">Uniformity!$A$1:$F$54</definedName>
  </definedNames>
  <calcPr calcId="162913"/>
</workbook>
</file>

<file path=xl/calcChain.xml><?xml version="1.0" encoding="utf-8"?>
<calcChain xmlns="http://schemas.openxmlformats.org/spreadsheetml/2006/main">
  <c r="D47" i="8" l="1"/>
  <c r="F30" i="1"/>
  <c r="B42" i="5" l="1"/>
  <c r="B42" i="1"/>
  <c r="C139" i="8"/>
  <c r="B135" i="8"/>
  <c r="C122" i="8"/>
  <c r="B118" i="8"/>
  <c r="D102" i="8"/>
  <c r="B100" i="8"/>
  <c r="F97" i="8"/>
  <c r="D97" i="8"/>
  <c r="G96" i="8"/>
  <c r="E96" i="8"/>
  <c r="B89" i="8"/>
  <c r="F99" i="8" s="1"/>
  <c r="B83" i="8"/>
  <c r="B84" i="8" s="1"/>
  <c r="C76" i="8"/>
  <c r="H71" i="8"/>
  <c r="G71" i="8"/>
  <c r="B68" i="8"/>
  <c r="H67" i="8"/>
  <c r="G67" i="8"/>
  <c r="H63" i="8"/>
  <c r="G63" i="8"/>
  <c r="C56" i="8"/>
  <c r="B55" i="8"/>
  <c r="B45" i="8"/>
  <c r="D48" i="8" s="1"/>
  <c r="F42" i="8"/>
  <c r="D42" i="8"/>
  <c r="G41" i="8"/>
  <c r="E41" i="8"/>
  <c r="B34" i="8"/>
  <c r="D44" i="8" s="1"/>
  <c r="B30" i="8"/>
  <c r="B30" i="6"/>
  <c r="B34" i="6"/>
  <c r="D44" i="6" s="1"/>
  <c r="E41" i="6"/>
  <c r="G41" i="6"/>
  <c r="D42" i="6"/>
  <c r="F42" i="6"/>
  <c r="B45" i="6"/>
  <c r="D48" i="6" s="1"/>
  <c r="B55" i="6"/>
  <c r="C56" i="6"/>
  <c r="G63" i="6"/>
  <c r="H63" i="6"/>
  <c r="G67" i="6"/>
  <c r="H67" i="6"/>
  <c r="B68" i="6"/>
  <c r="G71" i="6"/>
  <c r="H71" i="6"/>
  <c r="C76" i="6"/>
  <c r="B80" i="6"/>
  <c r="B83" i="6"/>
  <c r="B84" i="6" s="1"/>
  <c r="B89" i="6"/>
  <c r="D99" i="6" s="1"/>
  <c r="E96" i="6"/>
  <c r="G96" i="6"/>
  <c r="D97" i="6"/>
  <c r="F97" i="6"/>
  <c r="B100" i="6"/>
  <c r="B118" i="6"/>
  <c r="D102" i="6" s="1"/>
  <c r="D103" i="6" s="1"/>
  <c r="C122" i="6"/>
  <c r="B135" i="6"/>
  <c r="C139" i="6"/>
  <c r="F44" i="8" l="1"/>
  <c r="F99" i="6"/>
  <c r="D45" i="6"/>
  <c r="F100" i="8"/>
  <c r="F101" i="8" s="1"/>
  <c r="F45" i="8"/>
  <c r="F46" i="8" s="1"/>
  <c r="D45" i="8"/>
  <c r="E38" i="8" s="1"/>
  <c r="D103" i="8"/>
  <c r="D49" i="8"/>
  <c r="G93" i="8"/>
  <c r="D99" i="8"/>
  <c r="D100" i="8" s="1"/>
  <c r="D101" i="8" s="1"/>
  <c r="D46" i="6"/>
  <c r="F100" i="6"/>
  <c r="F101" i="6" s="1"/>
  <c r="D100" i="6"/>
  <c r="D101" i="6" s="1"/>
  <c r="D104" i="6"/>
  <c r="E39" i="6"/>
  <c r="F44" i="6"/>
  <c r="F45" i="6" s="1"/>
  <c r="F46" i="6" s="1"/>
  <c r="D49" i="6"/>
  <c r="E40" i="6"/>
  <c r="E38" i="6"/>
  <c r="B21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1"/>
  <c r="D50" i="2"/>
  <c r="D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40" i="8" l="1"/>
  <c r="G94" i="8"/>
  <c r="G39" i="8"/>
  <c r="D46" i="8"/>
  <c r="C50" i="2"/>
  <c r="B57" i="8"/>
  <c r="B69" i="8" s="1"/>
  <c r="B57" i="6"/>
  <c r="B69" i="6" s="1"/>
  <c r="E39" i="8"/>
  <c r="G40" i="8"/>
  <c r="G38" i="8"/>
  <c r="G95" i="8"/>
  <c r="G97" i="8" s="1"/>
  <c r="E95" i="8"/>
  <c r="D104" i="8"/>
  <c r="E93" i="8"/>
  <c r="E94" i="8"/>
  <c r="E42" i="8"/>
  <c r="E94" i="6"/>
  <c r="G95" i="6"/>
  <c r="E93" i="6"/>
  <c r="G94" i="6"/>
  <c r="E95" i="6"/>
  <c r="E42" i="6"/>
  <c r="G40" i="6"/>
  <c r="G93" i="6"/>
  <c r="G38" i="6"/>
  <c r="G39" i="6"/>
  <c r="C49" i="2"/>
  <c r="D50" i="8" l="1"/>
  <c r="G68" i="8" s="1"/>
  <c r="H68" i="8" s="1"/>
  <c r="D52" i="8"/>
  <c r="G42" i="8"/>
  <c r="G69" i="8"/>
  <c r="H69" i="8" s="1"/>
  <c r="G62" i="8"/>
  <c r="H62" i="8" s="1"/>
  <c r="G65" i="8"/>
  <c r="H65" i="8" s="1"/>
  <c r="G61" i="8"/>
  <c r="H61" i="8" s="1"/>
  <c r="D107" i="8"/>
  <c r="D105" i="8"/>
  <c r="E97" i="8"/>
  <c r="G97" i="6"/>
  <c r="D107" i="6"/>
  <c r="E97" i="6"/>
  <c r="G42" i="6"/>
  <c r="D105" i="6"/>
  <c r="D106" i="6" s="1"/>
  <c r="D50" i="6"/>
  <c r="D52" i="6"/>
  <c r="G64" i="8" l="1"/>
  <c r="H64" i="8" s="1"/>
  <c r="G70" i="8"/>
  <c r="H70" i="8" s="1"/>
  <c r="D51" i="8"/>
  <c r="G66" i="8"/>
  <c r="H66" i="8" s="1"/>
  <c r="G60" i="8"/>
  <c r="H60" i="8" s="1"/>
  <c r="H74" i="8" s="1"/>
  <c r="E130" i="8"/>
  <c r="F130" i="8" s="1"/>
  <c r="E114" i="8"/>
  <c r="F114" i="8" s="1"/>
  <c r="E111" i="8"/>
  <c r="F111" i="8" s="1"/>
  <c r="E132" i="8"/>
  <c r="F132" i="8" s="1"/>
  <c r="E129" i="8"/>
  <c r="F129" i="8" s="1"/>
  <c r="E113" i="8"/>
  <c r="F113" i="8" s="1"/>
  <c r="E131" i="8"/>
  <c r="F131" i="8" s="1"/>
  <c r="E128" i="8"/>
  <c r="F128" i="8" s="1"/>
  <c r="E115" i="8"/>
  <c r="F115" i="8" s="1"/>
  <c r="E110" i="8"/>
  <c r="F110" i="8" s="1"/>
  <c r="E127" i="8"/>
  <c r="F127" i="8" s="1"/>
  <c r="E112" i="8"/>
  <c r="F112" i="8" s="1"/>
  <c r="H72" i="8"/>
  <c r="D106" i="8"/>
  <c r="G60" i="6"/>
  <c r="H60" i="6" s="1"/>
  <c r="G62" i="6"/>
  <c r="H62" i="6" s="1"/>
  <c r="G64" i="6"/>
  <c r="H64" i="6" s="1"/>
  <c r="G69" i="6"/>
  <c r="H69" i="6" s="1"/>
  <c r="G68" i="6"/>
  <c r="H68" i="6" s="1"/>
  <c r="G61" i="6"/>
  <c r="H61" i="6" s="1"/>
  <c r="G65" i="6"/>
  <c r="H65" i="6" s="1"/>
  <c r="G70" i="6"/>
  <c r="H70" i="6" s="1"/>
  <c r="G66" i="6"/>
  <c r="H66" i="6" s="1"/>
  <c r="D51" i="6"/>
  <c r="E111" i="6"/>
  <c r="F111" i="6" s="1"/>
  <c r="E115" i="6"/>
  <c r="F115" i="6" s="1"/>
  <c r="E129" i="6"/>
  <c r="F129" i="6" s="1"/>
  <c r="E110" i="6"/>
  <c r="F110" i="6" s="1"/>
  <c r="E112" i="6"/>
  <c r="F112" i="6" s="1"/>
  <c r="E114" i="6"/>
  <c r="F114" i="6" s="1"/>
  <c r="E128" i="6"/>
  <c r="F128" i="6" s="1"/>
  <c r="E130" i="6"/>
  <c r="F130" i="6" s="1"/>
  <c r="E132" i="6"/>
  <c r="F132" i="6" s="1"/>
  <c r="E113" i="6"/>
  <c r="F113" i="6" s="1"/>
  <c r="E127" i="6"/>
  <c r="F127" i="6" s="1"/>
  <c r="E131" i="6"/>
  <c r="F131" i="6" s="1"/>
  <c r="F136" i="8" l="1"/>
  <c r="F134" i="8"/>
  <c r="F117" i="8"/>
  <c r="F119" i="8"/>
  <c r="H73" i="8"/>
  <c r="G76" i="8"/>
  <c r="F119" i="6"/>
  <c r="F117" i="6"/>
  <c r="G122" i="6" s="1"/>
  <c r="H74" i="6"/>
  <c r="H72" i="6"/>
  <c r="G76" i="6" s="1"/>
  <c r="F134" i="6"/>
  <c r="G139" i="6" s="1"/>
  <c r="F136" i="6"/>
  <c r="F135" i="8" l="1"/>
  <c r="G139" i="8"/>
  <c r="G122" i="8"/>
  <c r="F118" i="8"/>
  <c r="F135" i="6"/>
  <c r="H73" i="6"/>
  <c r="F118" i="6"/>
</calcChain>
</file>

<file path=xl/sharedStrings.xml><?xml version="1.0" encoding="utf-8"?>
<sst xmlns="http://schemas.openxmlformats.org/spreadsheetml/2006/main" count="493" uniqueCount="129">
  <si>
    <t>HPLC System Suitability Report</t>
  </si>
  <si>
    <t>Analysis Data</t>
  </si>
  <si>
    <t>Assay</t>
  </si>
  <si>
    <t>Sample(s)</t>
  </si>
  <si>
    <t>Reference Substance:</t>
  </si>
  <si>
    <t>ANZAVIR-R TABLETS 300 mg/ 100 mg</t>
  </si>
  <si>
    <t>% age Purity:</t>
  </si>
  <si>
    <t>NDQB201801297</t>
  </si>
  <si>
    <t>Weight (mg):</t>
  </si>
  <si>
    <t>ATAZANAVIR, RITONAVIR</t>
  </si>
  <si>
    <t>Standard Conc (mg/mL):</t>
  </si>
  <si>
    <t>Each film coated tablet contains: Atanazavir (as sulfate) equivalent to Atazanavir 300 mg and Ritonavir 100 mg.</t>
  </si>
  <si>
    <t>2018-01-24 08:23:58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</si>
  <si>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</si>
  <si>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</si>
  <si>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</si>
  <si>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</si>
  <si>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</si>
  <si>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</si>
  <si>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</si>
  <si>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</si>
  <si>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</si>
  <si>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</si>
  <si>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</si>
  <si>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</si>
  <si>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</si>
  <si>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</si>
  <si>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</si>
  <si>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</si>
  <si>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</si>
  <si>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</si>
  <si>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</si>
  <si>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</si>
  <si>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</si>
  <si>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</si>
  <si>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</si>
  <si>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</si>
  <si>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</si>
  <si>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</si>
  <si>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</si>
  <si>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</si>
  <si>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</si>
  <si>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</si>
  <si>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</si>
  <si>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</si>
  <si>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</si>
  <si>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</si>
  <si>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</si>
  <si>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</si>
  <si>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</si>
  <si>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</si>
  <si>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</si>
  <si>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</si>
  <si>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</si>
  <si>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</si>
  <si>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</si>
  <si>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</si>
  <si>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</si>
  <si>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</si>
  <si>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</si>
  <si>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</si>
  <si>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</si>
  <si>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</si>
  <si>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</si>
  <si>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</si>
  <si>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</si>
  <si>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</si>
  <si>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</si>
  <si>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</si>
  <si>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</si>
  <si>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</si>
  <si>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</si>
  <si>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</si>
  <si>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</si>
  <si>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</si>
  <si>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</si>
  <si>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</si>
  <si>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</si>
  <si>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</si>
  <si>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</si>
  <si>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</si>
  <si>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</si>
  <si>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</si>
  <si>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</si>
  <si>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</si>
  <si>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</si>
  <si>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</si>
  <si>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</si>
  <si>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</si>
  <si>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</si>
  <si>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</si>
  <si>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</si>
  <si>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</si>
  <si>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</si>
  <si>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</si>
  <si>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</si>
  <si>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</si>
  <si>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</si>
  <si>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</si>
  <si>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Amt of RS (mg):</t>
  </si>
  <si>
    <t>Amt of RS as free base (mg):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</si>
  <si>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</si>
  <si>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</si>
  <si>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</si>
  <si>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</si>
  <si>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</si>
  <si>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</si>
  <si>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RITONAVIR</t>
  </si>
  <si>
    <t>ATAZANAVIR</t>
  </si>
  <si>
    <t>A48-3</t>
  </si>
  <si>
    <t>RESOLUTION</t>
  </si>
  <si>
    <t>The resolution of peaks at 210nm of Ritonavir and Atazanavir NLT 2.5</t>
  </si>
  <si>
    <t>A48-1</t>
  </si>
  <si>
    <t>R14-3</t>
  </si>
  <si>
    <t>Comment</t>
  </si>
  <si>
    <t>tablet No.</t>
  </si>
  <si>
    <t>Determination of Active Ingredient Dissolved after</t>
  </si>
  <si>
    <t>Analysis Data:</t>
  </si>
  <si>
    <t>Desired Concetration (mg/mL):</t>
  </si>
  <si>
    <t>Inj</t>
  </si>
  <si>
    <t>Initial    Standard dilution</t>
  </si>
  <si>
    <t xml:space="preserve">I the sample as a percentage of the stated  label claim is </t>
  </si>
  <si>
    <t>Initial    Sample dilution</t>
  </si>
  <si>
    <t>R TABLETS 300MG/100MG</t>
  </si>
  <si>
    <t>25-01-2018</t>
  </si>
  <si>
    <t>20-02-2018</t>
  </si>
  <si>
    <t xml:space="preserve">Atazanavir </t>
  </si>
  <si>
    <t>90MINS</t>
  </si>
  <si>
    <t>Ritonavir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</si>
</sst>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Arial"/>
      <family val="2"/>
    </font>
    <font>
      <b/>
      <u/>
      <sz val="20"/>
      <color rgb="FF000000"/>
      <name val="Book Antiqua"/>
      <family val="1"/>
    </font>
    <font>
      <b/>
      <i/>
      <sz val="12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6" fillId="2" borderId="0"/>
  </cellStyleXfs>
  <cellXfs count="31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3" fillId="2" borderId="55" xfId="0" applyFont="1" applyFill="1" applyBorder="1"/>
    <xf numFmtId="2" fontId="7" fillId="3" borderId="26" xfId="0" applyNumberFormat="1" applyFont="1" applyFill="1" applyBorder="1" applyAlignment="1" applyProtection="1">
      <alignment horizontal="center"/>
      <protection locked="0"/>
    </xf>
    <xf numFmtId="2" fontId="7" fillId="3" borderId="31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2" fillId="2" borderId="57" xfId="0" applyFont="1" applyFill="1" applyBorder="1"/>
    <xf numFmtId="0" fontId="2" fillId="2" borderId="58" xfId="0" applyFont="1" applyFill="1" applyBorder="1"/>
    <xf numFmtId="0" fontId="24" fillId="2" borderId="0" xfId="0" applyFont="1" applyFill="1"/>
    <xf numFmtId="0" fontId="25" fillId="8" borderId="56" xfId="0" applyFont="1" applyFill="1" applyBorder="1" applyAlignment="1">
      <alignment horizontal="center"/>
    </xf>
    <xf numFmtId="0" fontId="25" fillId="8" borderId="57" xfId="0" applyFont="1" applyFill="1" applyBorder="1" applyAlignment="1">
      <alignment horizontal="center"/>
    </xf>
    <xf numFmtId="0" fontId="26" fillId="2" borderId="0" xfId="1" applyFill="1"/>
    <xf numFmtId="0" fontId="2" fillId="2" borderId="0" xfId="1" applyFont="1" applyFill="1"/>
    <xf numFmtId="0" fontId="11" fillId="2" borderId="0" xfId="1" applyFont="1" applyFill="1"/>
    <xf numFmtId="0" fontId="11" fillId="2" borderId="0" xfId="1" applyFont="1" applyFill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1" fillId="2" borderId="11" xfId="1" applyFont="1" applyFill="1" applyBorder="1"/>
    <xf numFmtId="0" fontId="12" fillId="2" borderId="11" xfId="1" applyFont="1" applyFill="1" applyBorder="1"/>
    <xf numFmtId="0" fontId="12" fillId="2" borderId="11" xfId="1" applyFont="1" applyFill="1" applyBorder="1" applyProtection="1">
      <protection locked="0"/>
    </xf>
    <xf numFmtId="0" fontId="12" fillId="2" borderId="0" xfId="1" applyFont="1" applyFill="1" applyAlignment="1">
      <alignment horizontal="right"/>
    </xf>
    <xf numFmtId="0" fontId="11" fillId="2" borderId="7" xfId="1" applyFont="1" applyFill="1" applyBorder="1"/>
    <xf numFmtId="0" fontId="11" fillId="2" borderId="7" xfId="1" applyFont="1" applyFill="1" applyBorder="1" applyProtection="1">
      <protection locked="0"/>
    </xf>
    <xf numFmtId="0" fontId="11" fillId="2" borderId="1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9" xfId="1" applyFont="1" applyFill="1" applyBorder="1"/>
    <xf numFmtId="0" fontId="19" fillId="2" borderId="9" xfId="1" applyFont="1" applyFill="1" applyBorder="1" applyAlignment="1">
      <alignment horizontal="left" vertical="center" wrapText="1"/>
    </xf>
    <xf numFmtId="165" fontId="12" fillId="2" borderId="0" xfId="1" applyNumberFormat="1" applyFont="1" applyFill="1" applyAlignment="1">
      <alignment horizontal="center"/>
    </xf>
    <xf numFmtId="0" fontId="12" fillId="2" borderId="0" xfId="1" applyFont="1" applyFill="1" applyAlignment="1">
      <alignment horizontal="center"/>
    </xf>
    <xf numFmtId="0" fontId="11" fillId="2" borderId="0" xfId="1" applyFont="1" applyFill="1" applyAlignment="1">
      <alignment horizontal="right"/>
    </xf>
    <xf numFmtId="165" fontId="13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0" fontId="13" fillId="7" borderId="17" xfId="1" applyFont="1" applyFill="1" applyBorder="1" applyAlignment="1">
      <alignment horizontal="center"/>
    </xf>
    <xf numFmtId="0" fontId="11" fillId="2" borderId="59" xfId="1" applyFont="1" applyFill="1" applyBorder="1" applyAlignment="1">
      <alignment horizontal="right"/>
    </xf>
    <xf numFmtId="0" fontId="11" fillId="2" borderId="60" xfId="1" applyFont="1" applyFill="1" applyBorder="1" applyAlignment="1">
      <alignment horizontal="center"/>
    </xf>
    <xf numFmtId="0" fontId="11" fillId="2" borderId="42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6" xfId="1" applyFont="1" applyFill="1" applyBorder="1"/>
    <xf numFmtId="0" fontId="11" fillId="2" borderId="23" xfId="1" applyFont="1" applyFill="1" applyBorder="1"/>
    <xf numFmtId="0" fontId="13" fillId="3" borderId="24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10" fontId="13" fillId="7" borderId="27" xfId="1" applyNumberFormat="1" applyFont="1" applyFill="1" applyBorder="1" applyAlignment="1">
      <alignment horizontal="center"/>
    </xf>
    <xf numFmtId="170" fontId="11" fillId="2" borderId="2" xfId="1" applyNumberFormat="1" applyFont="1" applyFill="1" applyBorder="1" applyAlignment="1">
      <alignment horizontal="right"/>
    </xf>
    <xf numFmtId="170" fontId="12" fillId="2" borderId="0" xfId="1" applyNumberFormat="1" applyFont="1" applyFill="1" applyAlignment="1">
      <alignment horizontal="center"/>
    </xf>
    <xf numFmtId="0" fontId="11" fillId="2" borderId="23" xfId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0" fontId="11" fillId="2" borderId="33" xfId="1" applyNumberFormat="1" applyFont="1" applyFill="1" applyBorder="1" applyAlignment="1">
      <alignment horizontal="center"/>
    </xf>
    <xf numFmtId="2" fontId="11" fillId="2" borderId="5" xfId="1" applyNumberFormat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0" fontId="11" fillId="2" borderId="34" xfId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/>
    </xf>
    <xf numFmtId="2" fontId="11" fillId="2" borderId="3" xfId="1" applyNumberFormat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0" fontId="11" fillId="2" borderId="28" xfId="1" applyNumberFormat="1" applyFont="1" applyFill="1" applyBorder="1" applyAlignment="1">
      <alignment horizontal="center"/>
    </xf>
    <xf numFmtId="2" fontId="11" fillId="2" borderId="4" xfId="1" applyNumberFormat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2" fillId="2" borderId="61" xfId="1" applyFont="1" applyFill="1" applyBorder="1"/>
    <xf numFmtId="0" fontId="12" fillId="2" borderId="62" xfId="1" applyFont="1" applyFill="1" applyBorder="1" applyAlignment="1">
      <alignment horizontal="center"/>
    </xf>
    <xf numFmtId="0" fontId="12" fillId="2" borderId="46" xfId="1" applyFont="1" applyFill="1" applyBorder="1" applyAlignment="1">
      <alignment horizontal="center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1" xfId="1" applyFont="1" applyFill="1" applyBorder="1" applyAlignment="1">
      <alignment horizontal="right"/>
    </xf>
    <xf numFmtId="0" fontId="3" fillId="2" borderId="0" xfId="1" applyFont="1" applyFill="1"/>
    <xf numFmtId="0" fontId="27" fillId="3" borderId="0" xfId="1" applyFont="1" applyFill="1" applyAlignment="1" applyProtection="1">
      <alignment horizontal="center"/>
      <protection locked="0"/>
    </xf>
    <xf numFmtId="0" fontId="3" fillId="2" borderId="0" xfId="1" applyFont="1" applyFill="1" applyAlignment="1">
      <alignment horizontal="left"/>
    </xf>
    <xf numFmtId="10" fontId="11" fillId="2" borderId="0" xfId="1" applyNumberFormat="1" applyFont="1" applyFill="1" applyAlignment="1">
      <alignment horizontal="center"/>
    </xf>
    <xf numFmtId="0" fontId="12" fillId="7" borderId="17" xfId="1" applyFont="1" applyFill="1" applyBorder="1" applyAlignment="1">
      <alignment horizontal="center"/>
    </xf>
    <xf numFmtId="10" fontId="12" fillId="6" borderId="27" xfId="1" applyNumberFormat="1" applyFont="1" applyFill="1" applyBorder="1" applyAlignment="1">
      <alignment horizontal="center"/>
    </xf>
    <xf numFmtId="0" fontId="12" fillId="2" borderId="24" xfId="1" applyFont="1" applyFill="1" applyBorder="1" applyAlignment="1">
      <alignment horizontal="center"/>
    </xf>
    <xf numFmtId="10" fontId="12" fillId="7" borderId="27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35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2" fontId="11" fillId="2" borderId="31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2" fontId="11" fillId="2" borderId="26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170" fontId="11" fillId="2" borderId="0" xfId="1" applyNumberFormat="1" applyFont="1" applyFill="1" applyAlignment="1">
      <alignment horizontal="center"/>
    </xf>
    <xf numFmtId="0" fontId="11" fillId="2" borderId="17" xfId="1" applyFont="1" applyFill="1" applyBorder="1" applyAlignment="1">
      <alignment horizontal="right"/>
    </xf>
    <xf numFmtId="10" fontId="12" fillId="6" borderId="41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2" fontId="2" fillId="2" borderId="0" xfId="1" applyNumberFormat="1" applyFont="1" applyFill="1" applyAlignment="1">
      <alignment horizontal="center"/>
    </xf>
    <xf numFmtId="170" fontId="12" fillId="7" borderId="16" xfId="1" applyNumberFormat="1" applyFont="1" applyFill="1" applyBorder="1" applyAlignment="1">
      <alignment horizontal="center"/>
    </xf>
    <xf numFmtId="0" fontId="11" fillId="2" borderId="16" xfId="1" applyFont="1" applyFill="1" applyBorder="1" applyAlignment="1">
      <alignment horizontal="right"/>
    </xf>
    <xf numFmtId="0" fontId="12" fillId="2" borderId="0" xfId="1" applyFont="1" applyFill="1" applyAlignment="1">
      <alignment horizontal="center" wrapText="1"/>
    </xf>
    <xf numFmtId="2" fontId="11" fillId="7" borderId="30" xfId="1" applyNumberFormat="1" applyFont="1" applyFill="1" applyBorder="1" applyAlignment="1">
      <alignment horizontal="center"/>
    </xf>
    <xf numFmtId="0" fontId="11" fillId="2" borderId="52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2" fontId="11" fillId="6" borderId="27" xfId="1" applyNumberFormat="1" applyFont="1" applyFill="1" applyBorder="1" applyAlignment="1">
      <alignment horizontal="center"/>
    </xf>
    <xf numFmtId="0" fontId="11" fillId="2" borderId="25" xfId="1" applyFont="1" applyFill="1" applyBorder="1" applyAlignment="1">
      <alignment horizontal="right"/>
    </xf>
    <xf numFmtId="2" fontId="11" fillId="7" borderId="27" xfId="1" applyNumberFormat="1" applyFont="1" applyFill="1" applyBorder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6" borderId="41" xfId="1" applyNumberFormat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center"/>
      <protection locked="0"/>
    </xf>
    <xf numFmtId="0" fontId="13" fillId="3" borderId="16" xfId="1" applyFont="1" applyFill="1" applyBorder="1" applyAlignment="1" applyProtection="1">
      <alignment horizontal="center"/>
      <protection locked="0"/>
    </xf>
    <xf numFmtId="0" fontId="13" fillId="3" borderId="51" xfId="1" applyFont="1" applyFill="1" applyBorder="1" applyAlignment="1" applyProtection="1">
      <alignment horizontal="center"/>
      <protection locked="0"/>
    </xf>
    <xf numFmtId="0" fontId="11" fillId="2" borderId="50" xfId="1" applyFont="1" applyFill="1" applyBorder="1" applyAlignment="1">
      <alignment horizontal="right"/>
    </xf>
    <xf numFmtId="1" fontId="12" fillId="6" borderId="15" xfId="1" applyNumberFormat="1" applyFont="1" applyFill="1" applyBorder="1" applyAlignment="1">
      <alignment horizontal="center"/>
    </xf>
    <xf numFmtId="1" fontId="12" fillId="6" borderId="49" xfId="1" applyNumberFormat="1" applyFont="1" applyFill="1" applyBorder="1" applyAlignment="1">
      <alignment horizontal="center"/>
    </xf>
    <xf numFmtId="170" fontId="12" fillId="6" borderId="38" xfId="1" applyNumberFormat="1" applyFont="1" applyFill="1" applyBorder="1" applyAlignment="1">
      <alignment horizontal="center"/>
    </xf>
    <xf numFmtId="1" fontId="12" fillId="6" borderId="48" xfId="1" applyNumberFormat="1" applyFont="1" applyFill="1" applyBorder="1" applyAlignment="1">
      <alignment horizontal="center"/>
    </xf>
    <xf numFmtId="170" fontId="11" fillId="2" borderId="36" xfId="1" applyNumberFormat="1" applyFont="1" applyFill="1" applyBorder="1" applyAlignment="1">
      <alignment horizontal="center"/>
    </xf>
    <xf numFmtId="170" fontId="13" fillId="3" borderId="34" xfId="1" applyNumberFormat="1" applyFont="1" applyFill="1" applyBorder="1" applyAlignment="1" applyProtection="1">
      <alignment horizontal="center"/>
      <protection locked="0"/>
    </xf>
    <xf numFmtId="170" fontId="11" fillId="2" borderId="35" xfId="1" applyNumberFormat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0" fontId="11" fillId="2" borderId="7" xfId="1" applyFont="1" applyFill="1" applyBorder="1" applyAlignment="1">
      <alignment horizontal="center"/>
    </xf>
    <xf numFmtId="170" fontId="11" fillId="2" borderId="32" xfId="1" applyNumberFormat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0" fontId="11" fillId="2" borderId="31" xfId="1" applyNumberFormat="1" applyFont="1" applyFill="1" applyBorder="1" applyAlignment="1">
      <alignment horizontal="center"/>
    </xf>
    <xf numFmtId="170" fontId="11" fillId="2" borderId="30" xfId="1" applyNumberFormat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0" fontId="11" fillId="2" borderId="26" xfId="1" applyNumberFormat="1" applyFont="1" applyFill="1" applyBorder="1" applyAlignment="1">
      <alignment horizontal="center"/>
    </xf>
    <xf numFmtId="0" fontId="11" fillId="2" borderId="47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169" fontId="12" fillId="2" borderId="0" xfId="1" applyNumberFormat="1" applyFont="1" applyFill="1" applyAlignment="1">
      <alignment horizontal="center"/>
    </xf>
    <xf numFmtId="0" fontId="5" fillId="2" borderId="0" xfId="1" applyFont="1" applyFill="1"/>
    <xf numFmtId="0" fontId="15" fillId="2" borderId="0" xfId="1" applyFont="1" applyFill="1" applyAlignment="1">
      <alignment vertical="center" wrapText="1"/>
    </xf>
    <xf numFmtId="0" fontId="17" fillId="2" borderId="0" xfId="1" applyFont="1" applyFill="1"/>
    <xf numFmtId="0" fontId="16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1" fillId="3" borderId="0" xfId="1" applyFont="1" applyFill="1"/>
    <xf numFmtId="0" fontId="13" fillId="7" borderId="45" xfId="1" applyFont="1" applyFill="1" applyBorder="1" applyAlignment="1">
      <alignment horizontal="center"/>
    </xf>
    <xf numFmtId="10" fontId="13" fillId="6" borderId="5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4" xfId="1" applyFont="1" applyFill="1" applyBorder="1" applyAlignment="1">
      <alignment horizontal="right"/>
    </xf>
    <xf numFmtId="10" fontId="11" fillId="2" borderId="15" xfId="1" applyNumberFormat="1" applyFont="1" applyFill="1" applyBorder="1" applyAlignment="1">
      <alignment horizontal="center" vertical="center"/>
    </xf>
    <xf numFmtId="2" fontId="11" fillId="2" borderId="15" xfId="1" applyNumberFormat="1" applyFont="1" applyFill="1" applyBorder="1" applyAlignment="1">
      <alignment horizontal="center"/>
    </xf>
    <xf numFmtId="0" fontId="13" fillId="3" borderId="42" xfId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2" fontId="11" fillId="2" borderId="14" xfId="1" applyNumberFormat="1" applyFont="1" applyFill="1" applyBorder="1" applyAlignment="1">
      <alignment horizontal="center"/>
    </xf>
    <xf numFmtId="0" fontId="11" fillId="2" borderId="14" xfId="1" applyFont="1" applyFill="1" applyBorder="1" applyAlignment="1">
      <alignment horizontal="center"/>
    </xf>
    <xf numFmtId="2" fontId="11" fillId="2" borderId="43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2" fontId="11" fillId="2" borderId="13" xfId="1" applyNumberFormat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0" fontId="11" fillId="2" borderId="13" xfId="1" applyFont="1" applyFill="1" applyBorder="1" applyAlignment="1">
      <alignment horizontal="center"/>
    </xf>
    <xf numFmtId="10" fontId="11" fillId="2" borderId="43" xfId="1" applyNumberFormat="1" applyFont="1" applyFill="1" applyBorder="1" applyAlignment="1">
      <alignment horizontal="center" vertical="center"/>
    </xf>
    <xf numFmtId="10" fontId="11" fillId="2" borderId="24" xfId="1" applyNumberFormat="1" applyFont="1" applyFill="1" applyBorder="1" applyAlignment="1">
      <alignment horizontal="center" vertical="center"/>
    </xf>
    <xf numFmtId="10" fontId="11" fillId="2" borderId="22" xfId="1" applyNumberFormat="1" applyFont="1" applyFill="1" applyBorder="1" applyAlignment="1">
      <alignment horizontal="center" vertical="center"/>
    </xf>
    <xf numFmtId="2" fontId="11" fillId="2" borderId="23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2" fontId="11" fillId="2" borderId="21" xfId="1" applyNumberFormat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2" fontId="12" fillId="2" borderId="13" xfId="1" applyNumberFormat="1" applyFont="1" applyFill="1" applyBorder="1" applyAlignment="1">
      <alignment horizontal="center"/>
    </xf>
    <xf numFmtId="166" fontId="12" fillId="2" borderId="0" xfId="1" applyNumberFormat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horizontal="left"/>
    </xf>
    <xf numFmtId="0" fontId="12" fillId="2" borderId="0" xfId="1" applyFont="1" applyFill="1" applyAlignment="1">
      <alignment horizontal="left"/>
    </xf>
    <xf numFmtId="0" fontId="11" fillId="7" borderId="17" xfId="1" applyFont="1" applyFill="1" applyBorder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3" fillId="3" borderId="27" xfId="1" applyFont="1" applyFill="1" applyBorder="1" applyAlignment="1" applyProtection="1">
      <alignment horizontal="center"/>
      <protection locked="0"/>
    </xf>
    <xf numFmtId="170" fontId="12" fillId="6" borderId="39" xfId="1" applyNumberFormat="1" applyFont="1" applyFill="1" applyBorder="1" applyAlignment="1">
      <alignment horizontal="center"/>
    </xf>
    <xf numFmtId="1" fontId="12" fillId="6" borderId="37" xfId="1" applyNumberFormat="1" applyFont="1" applyFill="1" applyBorder="1" applyAlignment="1">
      <alignment horizontal="center"/>
    </xf>
    <xf numFmtId="1" fontId="12" fillId="6" borderId="52" xfId="1" applyNumberFormat="1" applyFont="1" applyFill="1" applyBorder="1" applyAlignment="1">
      <alignment horizontal="center"/>
    </xf>
    <xf numFmtId="0" fontId="11" fillId="2" borderId="24" xfId="1" applyFont="1" applyFill="1" applyBorder="1" applyAlignment="1">
      <alignment horizontal="right"/>
    </xf>
    <xf numFmtId="0" fontId="12" fillId="2" borderId="0" xfId="1" applyFont="1" applyFill="1" applyAlignment="1">
      <alignment vertical="center" wrapText="1"/>
    </xf>
    <xf numFmtId="0" fontId="11" fillId="2" borderId="33" xfId="1" applyFont="1" applyFill="1" applyBorder="1" applyAlignment="1">
      <alignment horizontal="center"/>
    </xf>
    <xf numFmtId="0" fontId="11" fillId="2" borderId="24" xfId="1" applyFont="1" applyFill="1" applyBorder="1" applyAlignment="1">
      <alignment horizontal="center"/>
    </xf>
    <xf numFmtId="0" fontId="18" fillId="2" borderId="0" xfId="1" applyFont="1" applyFill="1"/>
    <xf numFmtId="0" fontId="11" fillId="2" borderId="28" xfId="1" applyFont="1" applyFill="1" applyBorder="1" applyAlignment="1">
      <alignment horizontal="center"/>
    </xf>
    <xf numFmtId="2" fontId="12" fillId="2" borderId="0" xfId="1" applyNumberFormat="1" applyFont="1" applyFill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168" fontId="11" fillId="2" borderId="0" xfId="1" applyNumberFormat="1" applyFont="1" applyFill="1" applyAlignment="1">
      <alignment horizontal="left"/>
    </xf>
    <xf numFmtId="0" fontId="12" fillId="2" borderId="0" xfId="1" applyFont="1" applyFill="1"/>
    <xf numFmtId="168" fontId="11" fillId="3" borderId="0" xfId="1" applyNumberFormat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2" fillId="3" borderId="0" xfId="1" applyFont="1" applyFill="1" applyAlignment="1" applyProtection="1">
      <alignment horizontal="left"/>
      <protection locked="0"/>
    </xf>
    <xf numFmtId="0" fontId="12" fillId="2" borderId="10" xfId="1" applyFont="1" applyFill="1" applyBorder="1" applyAlignment="1">
      <alignment horizont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46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42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20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28" fillId="2" borderId="18" xfId="1" applyFont="1" applyFill="1" applyBorder="1" applyAlignment="1">
      <alignment horizontal="center"/>
    </xf>
    <xf numFmtId="0" fontId="28" fillId="2" borderId="19" xfId="1" applyFont="1" applyFill="1" applyBorder="1" applyAlignment="1">
      <alignment horizontal="center"/>
    </xf>
    <xf numFmtId="0" fontId="28" fillId="2" borderId="20" xfId="1" applyFont="1" applyFill="1" applyBorder="1" applyAlignment="1">
      <alignment horizontal="center"/>
    </xf>
    <xf numFmtId="0" fontId="12" fillId="2" borderId="9" xfId="1" applyFont="1" applyFill="1" applyBorder="1" applyAlignment="1">
      <alignment horizontal="center" vertical="center"/>
    </xf>
    <xf numFmtId="0" fontId="12" fillId="2" borderId="40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3" borderId="0" xfId="1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9" fontId="11" fillId="2" borderId="28" xfId="1" applyNumberFormat="1" applyFont="1" applyFill="1" applyBorder="1" applyAlignment="1">
      <alignment horizontal="center"/>
    </xf>
    <xf numFmtId="9" fontId="11" fillId="2" borderId="24" xfId="1" applyNumberFormat="1" applyFont="1" applyFill="1" applyBorder="1" applyAlignment="1">
      <alignment horizontal="center"/>
    </xf>
    <xf numFmtId="9" fontId="11" fillId="2" borderId="33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6"/>
  <sheetViews>
    <sheetView tabSelected="1" view="pageBreakPreview" topLeftCell="A111" zoomScale="55" zoomScaleNormal="75" zoomScaleSheetLayoutView="55" workbookViewId="0">
      <selection activeCell="F127" sqref="F127:F132"/>
    </sheetView>
  </sheetViews>
  <sheetFormatPr defaultRowHeight="13.5" x14ac:dyDescent="0.25"/>
  <cols>
    <col min="1" max="1" width="55.42578125" style="112" customWidth="1"/>
    <col min="2" max="2" width="33.7109375" style="112" customWidth="1"/>
    <col min="3" max="3" width="42.28515625" style="112" customWidth="1"/>
    <col min="4" max="4" width="30.5703125" style="112" customWidth="1"/>
    <col min="5" max="5" width="39.85546875" style="112" customWidth="1"/>
    <col min="6" max="6" width="30.7109375" style="112" customWidth="1"/>
    <col min="7" max="7" width="39.85546875" style="112" customWidth="1"/>
    <col min="8" max="8" width="41.140625" style="112" customWidth="1"/>
    <col min="9" max="9" width="30.28515625" style="112" customWidth="1"/>
    <col min="10" max="10" width="30.42578125" style="112" customWidth="1"/>
    <col min="11" max="11" width="21.28515625" style="112" customWidth="1"/>
    <col min="12" max="12" width="9.140625" style="112" customWidth="1"/>
    <col min="13" max="16384" width="9.140625" style="111"/>
  </cols>
  <sheetData>
    <row r="1" spans="1:8" x14ac:dyDescent="0.25">
      <c r="A1" s="287" t="s">
        <v>45</v>
      </c>
      <c r="B1" s="287"/>
      <c r="C1" s="287"/>
      <c r="D1" s="287"/>
      <c r="E1" s="287"/>
      <c r="F1" s="287"/>
      <c r="G1" s="287"/>
      <c r="H1" s="287"/>
    </row>
    <row r="2" spans="1:8" x14ac:dyDescent="0.25">
      <c r="A2" s="287"/>
      <c r="B2" s="287"/>
      <c r="C2" s="287"/>
      <c r="D2" s="287"/>
      <c r="E2" s="287"/>
      <c r="F2" s="287"/>
      <c r="G2" s="287"/>
      <c r="H2" s="287"/>
    </row>
    <row r="3" spans="1:8" x14ac:dyDescent="0.25">
      <c r="A3" s="287"/>
      <c r="B3" s="287"/>
      <c r="C3" s="287"/>
      <c r="D3" s="287"/>
      <c r="E3" s="287"/>
      <c r="F3" s="287"/>
      <c r="G3" s="287"/>
      <c r="H3" s="287"/>
    </row>
    <row r="4" spans="1:8" x14ac:dyDescent="0.25">
      <c r="A4" s="287"/>
      <c r="B4" s="287"/>
      <c r="C4" s="287"/>
      <c r="D4" s="287"/>
      <c r="E4" s="287"/>
      <c r="F4" s="287"/>
      <c r="G4" s="287"/>
      <c r="H4" s="287"/>
    </row>
    <row r="5" spans="1:8" x14ac:dyDescent="0.25">
      <c r="A5" s="287"/>
      <c r="B5" s="287"/>
      <c r="C5" s="287"/>
      <c r="D5" s="287"/>
      <c r="E5" s="287"/>
      <c r="F5" s="287"/>
      <c r="G5" s="287"/>
      <c r="H5" s="287"/>
    </row>
    <row r="6" spans="1:8" x14ac:dyDescent="0.25">
      <c r="A6" s="287"/>
      <c r="B6" s="287"/>
      <c r="C6" s="287"/>
      <c r="D6" s="287"/>
      <c r="E6" s="287"/>
      <c r="F6" s="287"/>
      <c r="G6" s="287"/>
      <c r="H6" s="287"/>
    </row>
    <row r="7" spans="1:8" x14ac:dyDescent="0.25">
      <c r="A7" s="287"/>
      <c r="B7" s="287"/>
      <c r="C7" s="287"/>
      <c r="D7" s="287"/>
      <c r="E7" s="287"/>
      <c r="F7" s="287"/>
      <c r="G7" s="287"/>
      <c r="H7" s="287"/>
    </row>
    <row r="8" spans="1:8" x14ac:dyDescent="0.25">
      <c r="A8" s="288" t="s">
        <v>46</v>
      </c>
      <c r="B8" s="288"/>
      <c r="C8" s="288"/>
      <c r="D8" s="288"/>
      <c r="E8" s="288"/>
      <c r="F8" s="288"/>
      <c r="G8" s="288"/>
      <c r="H8" s="288"/>
    </row>
    <row r="9" spans="1:8" x14ac:dyDescent="0.25">
      <c r="A9" s="288"/>
      <c r="B9" s="288"/>
      <c r="C9" s="288"/>
      <c r="D9" s="288"/>
      <c r="E9" s="288"/>
      <c r="F9" s="288"/>
      <c r="G9" s="288"/>
      <c r="H9" s="288"/>
    </row>
    <row r="10" spans="1:8" x14ac:dyDescent="0.25">
      <c r="A10" s="288"/>
      <c r="B10" s="288"/>
      <c r="C10" s="288"/>
      <c r="D10" s="288"/>
      <c r="E10" s="288"/>
      <c r="F10" s="288"/>
      <c r="G10" s="288"/>
      <c r="H10" s="288"/>
    </row>
    <row r="11" spans="1:8" x14ac:dyDescent="0.25">
      <c r="A11" s="288"/>
      <c r="B11" s="288"/>
      <c r="C11" s="288"/>
      <c r="D11" s="288"/>
      <c r="E11" s="288"/>
      <c r="F11" s="288"/>
      <c r="G11" s="288"/>
      <c r="H11" s="288"/>
    </row>
    <row r="12" spans="1:8" x14ac:dyDescent="0.25">
      <c r="A12" s="288"/>
      <c r="B12" s="288"/>
      <c r="C12" s="288"/>
      <c r="D12" s="288"/>
      <c r="E12" s="288"/>
      <c r="F12" s="288"/>
      <c r="G12" s="288"/>
      <c r="H12" s="288"/>
    </row>
    <row r="13" spans="1:8" x14ac:dyDescent="0.25">
      <c r="A13" s="288"/>
      <c r="B13" s="288"/>
      <c r="C13" s="288"/>
      <c r="D13" s="288"/>
      <c r="E13" s="288"/>
      <c r="F13" s="288"/>
      <c r="G13" s="288"/>
      <c r="H13" s="288"/>
    </row>
    <row r="14" spans="1:8" x14ac:dyDescent="0.25">
      <c r="A14" s="288"/>
      <c r="B14" s="288"/>
      <c r="C14" s="288"/>
      <c r="D14" s="288"/>
      <c r="E14" s="288"/>
      <c r="F14" s="288"/>
      <c r="G14" s="288"/>
      <c r="H14" s="288"/>
    </row>
    <row r="15" spans="1:8" ht="19.5" customHeight="1" thickBot="1" x14ac:dyDescent="0.3"/>
    <row r="16" spans="1:8" ht="19.5" customHeight="1" thickBot="1" x14ac:dyDescent="0.3">
      <c r="A16" s="289" t="s">
        <v>31</v>
      </c>
      <c r="B16" s="290"/>
      <c r="C16" s="290"/>
      <c r="D16" s="290"/>
      <c r="E16" s="290"/>
      <c r="F16" s="290"/>
      <c r="G16" s="290"/>
      <c r="H16" s="291"/>
    </row>
    <row r="17" spans="1:14" ht="18.75" x14ac:dyDescent="0.3">
      <c r="A17" s="160" t="s">
        <v>47</v>
      </c>
      <c r="B17" s="160"/>
    </row>
    <row r="18" spans="1:14" ht="18.75" x14ac:dyDescent="0.3">
      <c r="A18" s="266" t="s">
        <v>33</v>
      </c>
      <c r="B18" s="300" t="s">
        <v>123</v>
      </c>
      <c r="C18" s="300"/>
      <c r="D18" s="270"/>
      <c r="E18" s="270"/>
    </row>
    <row r="19" spans="1:14" ht="18.75" x14ac:dyDescent="0.3">
      <c r="A19" s="266" t="s">
        <v>34</v>
      </c>
      <c r="B19" s="269" t="s">
        <v>7</v>
      </c>
      <c r="C19" s="113">
        <v>24</v>
      </c>
    </row>
    <row r="20" spans="1:14" ht="18.75" x14ac:dyDescent="0.3">
      <c r="A20" s="266" t="s">
        <v>35</v>
      </c>
      <c r="B20" s="269" t="s">
        <v>108</v>
      </c>
    </row>
    <row r="21" spans="1:14" ht="26.25" x14ac:dyDescent="0.4">
      <c r="A21" s="266" t="s">
        <v>36</v>
      </c>
      <c r="B21" s="301" t="s">
        <v>11</v>
      </c>
      <c r="C21" s="301"/>
      <c r="D21" s="301"/>
      <c r="E21" s="301"/>
      <c r="F21" s="301"/>
      <c r="G21" s="301"/>
      <c r="H21" s="301"/>
      <c r="I21" s="268"/>
    </row>
    <row r="22" spans="1:14" ht="18.75" x14ac:dyDescent="0.3">
      <c r="A22" s="266" t="s">
        <v>37</v>
      </c>
      <c r="B22" s="267" t="s">
        <v>124</v>
      </c>
    </row>
    <row r="23" spans="1:14" ht="18.75" x14ac:dyDescent="0.3">
      <c r="A23" s="266" t="s">
        <v>38</v>
      </c>
      <c r="B23" s="267" t="s">
        <v>125</v>
      </c>
    </row>
    <row r="24" spans="1:14" ht="18.75" x14ac:dyDescent="0.3">
      <c r="A24" s="266"/>
      <c r="B24" s="265"/>
    </row>
    <row r="25" spans="1:14" ht="18.75" x14ac:dyDescent="0.3">
      <c r="A25" s="162" t="s">
        <v>1</v>
      </c>
      <c r="B25" s="265"/>
    </row>
    <row r="26" spans="1:14" ht="26.25" customHeight="1" x14ac:dyDescent="0.4">
      <c r="A26" s="119" t="s">
        <v>4</v>
      </c>
      <c r="B26" s="264" t="s">
        <v>126</v>
      </c>
      <c r="C26" s="222"/>
    </row>
    <row r="27" spans="1:14" ht="26.25" customHeight="1" x14ac:dyDescent="0.4">
      <c r="A27" s="128" t="s">
        <v>48</v>
      </c>
      <c r="B27" s="192" t="s">
        <v>109</v>
      </c>
    </row>
    <row r="28" spans="1:14" ht="27" customHeight="1" thickBot="1" x14ac:dyDescent="0.45">
      <c r="A28" s="128" t="s">
        <v>6</v>
      </c>
      <c r="B28" s="192">
        <v>99.6</v>
      </c>
    </row>
    <row r="29" spans="1:14" s="217" customFormat="1" ht="27" customHeight="1" thickBot="1" x14ac:dyDescent="0.45">
      <c r="A29" s="128" t="s">
        <v>49</v>
      </c>
      <c r="B29" s="192">
        <v>0</v>
      </c>
      <c r="C29" s="294" t="s">
        <v>50</v>
      </c>
      <c r="D29" s="295"/>
      <c r="E29" s="295"/>
      <c r="F29" s="295"/>
      <c r="G29" s="296"/>
      <c r="I29" s="218"/>
      <c r="J29" s="218"/>
      <c r="K29" s="218"/>
      <c r="L29" s="218"/>
    </row>
    <row r="30" spans="1:14" s="217" customFormat="1" ht="19.5" customHeight="1" thickBot="1" x14ac:dyDescent="0.35">
      <c r="A30" s="128" t="s">
        <v>51</v>
      </c>
      <c r="B30" s="127">
        <f>B28-B29</f>
        <v>99.6</v>
      </c>
      <c r="C30" s="220"/>
      <c r="D30" s="220"/>
      <c r="E30" s="220"/>
      <c r="F30" s="220"/>
      <c r="G30" s="219"/>
      <c r="I30" s="218"/>
      <c r="J30" s="218"/>
      <c r="K30" s="218"/>
      <c r="L30" s="218"/>
    </row>
    <row r="31" spans="1:14" s="217" customFormat="1" ht="27" customHeight="1" thickBot="1" x14ac:dyDescent="0.45">
      <c r="A31" s="128" t="s">
        <v>52</v>
      </c>
      <c r="B31" s="221">
        <v>704.85599999999999</v>
      </c>
      <c r="C31" s="297" t="s">
        <v>53</v>
      </c>
      <c r="D31" s="298"/>
      <c r="E31" s="298"/>
      <c r="F31" s="298"/>
      <c r="G31" s="298"/>
      <c r="H31" s="299"/>
      <c r="I31" s="218"/>
      <c r="J31" s="218"/>
      <c r="K31" s="218"/>
      <c r="L31" s="218"/>
    </row>
    <row r="32" spans="1:14" s="217" customFormat="1" ht="27" customHeight="1" thickBot="1" x14ac:dyDescent="0.45">
      <c r="A32" s="128" t="s">
        <v>54</v>
      </c>
      <c r="B32" s="221">
        <v>802.93299999999999</v>
      </c>
      <c r="C32" s="297" t="s">
        <v>55</v>
      </c>
      <c r="D32" s="298"/>
      <c r="E32" s="298"/>
      <c r="F32" s="298"/>
      <c r="G32" s="298"/>
      <c r="H32" s="299"/>
      <c r="I32" s="218"/>
      <c r="J32" s="218"/>
      <c r="K32" s="218"/>
      <c r="L32" s="258"/>
      <c r="M32" s="258"/>
      <c r="N32" s="261"/>
    </row>
    <row r="33" spans="1:14" s="217" customFormat="1" ht="17.25" customHeight="1" x14ac:dyDescent="0.3">
      <c r="A33" s="128"/>
      <c r="B33" s="263"/>
      <c r="C33" s="130"/>
      <c r="D33" s="130"/>
      <c r="E33" s="130"/>
      <c r="F33" s="130"/>
      <c r="G33" s="130"/>
      <c r="H33" s="130"/>
      <c r="I33" s="218"/>
      <c r="J33" s="218"/>
      <c r="K33" s="218"/>
      <c r="L33" s="258"/>
      <c r="M33" s="258"/>
      <c r="N33" s="261"/>
    </row>
    <row r="34" spans="1:14" s="217" customFormat="1" ht="18.75" x14ac:dyDescent="0.3">
      <c r="A34" s="128" t="s">
        <v>56</v>
      </c>
      <c r="B34" s="216">
        <f>B31/B32</f>
        <v>0.87785157665708102</v>
      </c>
      <c r="C34" s="113" t="s">
        <v>57</v>
      </c>
      <c r="D34" s="113"/>
      <c r="E34" s="113"/>
      <c r="F34" s="113"/>
      <c r="G34" s="113"/>
      <c r="I34" s="218"/>
      <c r="J34" s="218"/>
      <c r="K34" s="218"/>
      <c r="L34" s="258"/>
      <c r="M34" s="258"/>
      <c r="N34" s="261"/>
    </row>
    <row r="35" spans="1:14" s="217" customFormat="1" ht="19.5" customHeight="1" thickBot="1" x14ac:dyDescent="0.35">
      <c r="A35" s="128"/>
      <c r="B35" s="127"/>
      <c r="G35" s="113"/>
      <c r="I35" s="218"/>
      <c r="J35" s="218"/>
      <c r="K35" s="218"/>
      <c r="L35" s="258"/>
      <c r="M35" s="258"/>
      <c r="N35" s="261"/>
    </row>
    <row r="36" spans="1:14" s="217" customFormat="1" ht="27" customHeight="1" thickBot="1" x14ac:dyDescent="0.45">
      <c r="A36" s="159" t="s">
        <v>120</v>
      </c>
      <c r="B36" s="158">
        <v>10</v>
      </c>
      <c r="C36" s="113"/>
      <c r="D36" s="277" t="s">
        <v>58</v>
      </c>
      <c r="E36" s="293"/>
      <c r="F36" s="277" t="s">
        <v>59</v>
      </c>
      <c r="G36" s="278"/>
      <c r="J36" s="218"/>
      <c r="K36" s="218"/>
      <c r="L36" s="258"/>
      <c r="M36" s="258"/>
      <c r="N36" s="261"/>
    </row>
    <row r="37" spans="1:14" s="217" customFormat="1" ht="15.75" customHeight="1" x14ac:dyDescent="0.4">
      <c r="A37" s="139" t="s">
        <v>60</v>
      </c>
      <c r="B37" s="138">
        <v>4</v>
      </c>
      <c r="C37" s="245" t="s">
        <v>119</v>
      </c>
      <c r="D37" s="213" t="s">
        <v>62</v>
      </c>
      <c r="E37" s="214" t="s">
        <v>63</v>
      </c>
      <c r="F37" s="213" t="s">
        <v>62</v>
      </c>
      <c r="G37" s="212" t="s">
        <v>63</v>
      </c>
      <c r="J37" s="218"/>
      <c r="K37" s="218"/>
      <c r="L37" s="258"/>
      <c r="M37" s="258"/>
      <c r="N37" s="261"/>
    </row>
    <row r="38" spans="1:14" s="217" customFormat="1" ht="26.25" customHeight="1" x14ac:dyDescent="0.4">
      <c r="A38" s="139" t="s">
        <v>64</v>
      </c>
      <c r="B38" s="138">
        <v>25</v>
      </c>
      <c r="C38" s="262">
        <v>1</v>
      </c>
      <c r="D38" s="209">
        <v>1334208</v>
      </c>
      <c r="E38" s="210">
        <f>IF(ISBLANK(D38),"-",$D$48/$D$45*D38)</f>
        <v>1750396.683365464</v>
      </c>
      <c r="F38" s="209">
        <v>1607819</v>
      </c>
      <c r="G38" s="208">
        <f>IF(ISBLANK(F38),"-",$D$48/$F$45*F38)</f>
        <v>1754300.7716384302</v>
      </c>
      <c r="J38" s="218"/>
      <c r="K38" s="218"/>
      <c r="L38" s="258"/>
      <c r="M38" s="258"/>
      <c r="N38" s="261"/>
    </row>
    <row r="39" spans="1:14" s="217" customFormat="1" ht="26.25" customHeight="1" x14ac:dyDescent="0.4">
      <c r="A39" s="139" t="s">
        <v>65</v>
      </c>
      <c r="B39" s="138">
        <v>1</v>
      </c>
      <c r="C39" s="260">
        <v>2</v>
      </c>
      <c r="D39" s="206">
        <v>1333711</v>
      </c>
      <c r="E39" s="207">
        <f>IF(ISBLANK(D39),"-",$D$48/$D$45*D39)</f>
        <v>1749744.650735145</v>
      </c>
      <c r="F39" s="206">
        <v>1608517</v>
      </c>
      <c r="G39" s="205">
        <f>IF(ISBLANK(F39),"-",$D$48/$F$45*F39)</f>
        <v>1755062.3635456061</v>
      </c>
      <c r="J39" s="218"/>
      <c r="K39" s="218"/>
      <c r="L39" s="258"/>
      <c r="M39" s="258"/>
      <c r="N39" s="261"/>
    </row>
    <row r="40" spans="1:14" ht="26.25" customHeight="1" x14ac:dyDescent="0.4">
      <c r="A40" s="139" t="s">
        <v>66</v>
      </c>
      <c r="B40" s="138">
        <v>1</v>
      </c>
      <c r="C40" s="260">
        <v>3</v>
      </c>
      <c r="D40" s="206">
        <v>1333423</v>
      </c>
      <c r="E40" s="207">
        <f>IF(ISBLANK(D40),"-",$D$48/$D$45*D40)</f>
        <v>1749366.8129131494</v>
      </c>
      <c r="F40" s="206">
        <v>1608083</v>
      </c>
      <c r="G40" s="205">
        <f>IF(ISBLANK(F40),"-",$D$48/$F$45*F40)</f>
        <v>1754588.8235918605</v>
      </c>
      <c r="L40" s="258"/>
      <c r="M40" s="258"/>
      <c r="N40" s="113"/>
    </row>
    <row r="41" spans="1:14" ht="26.25" customHeight="1" x14ac:dyDescent="0.4">
      <c r="A41" s="139" t="s">
        <v>67</v>
      </c>
      <c r="B41" s="138">
        <v>1</v>
      </c>
      <c r="C41" s="259">
        <v>4</v>
      </c>
      <c r="D41" s="203"/>
      <c r="E41" s="202" t="str">
        <f>IF(ISBLANK(D41),"-",$D$48/$D$45*D41)</f>
        <v>-</v>
      </c>
      <c r="F41" s="203"/>
      <c r="G41" s="200" t="str">
        <f>IF(ISBLANK(F41),"-",$D$48/$F$45*F41)</f>
        <v>-</v>
      </c>
      <c r="L41" s="258"/>
      <c r="M41" s="258"/>
      <c r="N41" s="113"/>
    </row>
    <row r="42" spans="1:14" ht="27" customHeight="1" thickBot="1" x14ac:dyDescent="0.45">
      <c r="A42" s="139" t="s">
        <v>68</v>
      </c>
      <c r="B42" s="138">
        <v>1</v>
      </c>
      <c r="C42" s="257" t="s">
        <v>69</v>
      </c>
      <c r="D42" s="256">
        <f>AVERAGE(D38:D41)</f>
        <v>1333780.6666666667</v>
      </c>
      <c r="E42" s="198">
        <f>AVERAGE(E38:E41)</f>
        <v>1749836.0490045862</v>
      </c>
      <c r="F42" s="255">
        <f>AVERAGE(F38:F41)</f>
        <v>1608139.6666666667</v>
      </c>
      <c r="G42" s="254">
        <f>AVERAGE(G38:G41)</f>
        <v>1754650.6529252988</v>
      </c>
      <c r="H42" s="174"/>
    </row>
    <row r="43" spans="1:14" ht="26.25" customHeight="1" x14ac:dyDescent="0.4">
      <c r="A43" s="139" t="s">
        <v>70</v>
      </c>
      <c r="B43" s="192">
        <v>1</v>
      </c>
      <c r="C43" s="195" t="s">
        <v>99</v>
      </c>
      <c r="D43" s="194">
        <v>10.87</v>
      </c>
      <c r="E43" s="113"/>
      <c r="F43" s="193">
        <v>13.07</v>
      </c>
      <c r="H43" s="174"/>
    </row>
    <row r="44" spans="1:14" ht="26.25" customHeight="1" x14ac:dyDescent="0.4">
      <c r="A44" s="139" t="s">
        <v>71</v>
      </c>
      <c r="B44" s="192">
        <v>1</v>
      </c>
      <c r="C44" s="187" t="s">
        <v>100</v>
      </c>
      <c r="D44" s="186">
        <f>D43*$B$34</f>
        <v>9.5422466382624709</v>
      </c>
      <c r="E44" s="114"/>
      <c r="F44" s="191">
        <f>F43*$B$34</f>
        <v>11.473520106908049</v>
      </c>
      <c r="H44" s="174"/>
    </row>
    <row r="45" spans="1:14" ht="19.5" customHeight="1" thickBot="1" x14ac:dyDescent="0.35">
      <c r="A45" s="139" t="s">
        <v>72</v>
      </c>
      <c r="B45" s="127">
        <f>(B44/B43)*(B42/B41)*(B40/B39)*(B38/B37)*B36</f>
        <v>62.5</v>
      </c>
      <c r="C45" s="187" t="s">
        <v>73</v>
      </c>
      <c r="D45" s="188">
        <f>D44*$B$30/100</f>
        <v>9.5040776517094212</v>
      </c>
      <c r="E45" s="115"/>
      <c r="F45" s="190">
        <f>F44*$B$30/100</f>
        <v>11.427626026480416</v>
      </c>
      <c r="H45" s="174"/>
    </row>
    <row r="46" spans="1:14" ht="19.5" customHeight="1" thickBot="1" x14ac:dyDescent="0.35">
      <c r="A46" s="272" t="s">
        <v>74</v>
      </c>
      <c r="B46" s="279"/>
      <c r="C46" s="187" t="s">
        <v>75</v>
      </c>
      <c r="D46" s="186">
        <f>D45/$B$45</f>
        <v>0.15206524242735073</v>
      </c>
      <c r="E46" s="115"/>
      <c r="F46" s="189">
        <f>F45/$B$45</f>
        <v>0.18284201642368667</v>
      </c>
      <c r="H46" s="174"/>
    </row>
    <row r="47" spans="1:14" ht="27" customHeight="1" thickBot="1" x14ac:dyDescent="0.45">
      <c r="A47" s="274"/>
      <c r="B47" s="280"/>
      <c r="C47" s="187" t="s">
        <v>118</v>
      </c>
      <c r="D47" s="253">
        <v>0.19950000000000001</v>
      </c>
      <c r="F47" s="185"/>
      <c r="H47" s="174"/>
    </row>
    <row r="48" spans="1:14" ht="18.75" x14ac:dyDescent="0.3">
      <c r="C48" s="187" t="s">
        <v>76</v>
      </c>
      <c r="D48" s="186">
        <f>D47*$B$45</f>
        <v>12.46875</v>
      </c>
      <c r="F48" s="185"/>
      <c r="H48" s="174"/>
    </row>
    <row r="49" spans="1:12" ht="19.5" customHeight="1" thickBot="1" x14ac:dyDescent="0.35">
      <c r="C49" s="184" t="s">
        <v>77</v>
      </c>
      <c r="D49" s="183">
        <f>D48/B34</f>
        <v>14.203710890947937</v>
      </c>
      <c r="F49" s="175"/>
      <c r="H49" s="174"/>
    </row>
    <row r="50" spans="1:12" ht="18.75" x14ac:dyDescent="0.3">
      <c r="C50" s="181" t="s">
        <v>78</v>
      </c>
      <c r="D50" s="180">
        <f>AVERAGE(E38:E41,G38:G41)</f>
        <v>1752243.3509649422</v>
      </c>
      <c r="F50" s="175"/>
      <c r="H50" s="174"/>
    </row>
    <row r="51" spans="1:12" ht="18.75" x14ac:dyDescent="0.3">
      <c r="C51" s="178" t="s">
        <v>79</v>
      </c>
      <c r="D51" s="252">
        <f>STDEV(E38:E41,G38:G41)/D50</f>
        <v>1.5230064387954652E-3</v>
      </c>
      <c r="F51" s="175"/>
    </row>
    <row r="52" spans="1:12" ht="19.5" customHeight="1" thickBot="1" x14ac:dyDescent="0.35">
      <c r="C52" s="176" t="s">
        <v>20</v>
      </c>
      <c r="D52" s="251">
        <f>COUNT(E38:E41,G38:G41)</f>
        <v>6</v>
      </c>
      <c r="F52" s="175"/>
    </row>
    <row r="54" spans="1:12" ht="18.75" x14ac:dyDescent="0.3">
      <c r="A54" s="160" t="s">
        <v>1</v>
      </c>
      <c r="B54" s="250" t="s">
        <v>80</v>
      </c>
    </row>
    <row r="55" spans="1:12" ht="18.75" x14ac:dyDescent="0.3">
      <c r="A55" s="113" t="s">
        <v>81</v>
      </c>
      <c r="B55" s="249" t="str">
        <f>B21</f>
        <v>Each film coated tablet contains: Atanazavir (as sulfate) equivalent to Atazanavir 300 mg and Ritonavir 100 mg.</v>
      </c>
    </row>
    <row r="56" spans="1:12" ht="26.25" customHeight="1" x14ac:dyDescent="0.4">
      <c r="A56" s="249" t="s">
        <v>82</v>
      </c>
      <c r="B56" s="192">
        <v>300</v>
      </c>
      <c r="C56" s="113" t="str">
        <f>B20</f>
        <v>ATAZANAVIR</v>
      </c>
      <c r="H56" s="114"/>
    </row>
    <row r="57" spans="1:12" ht="18.75" x14ac:dyDescent="0.3">
      <c r="A57" s="249" t="s">
        <v>83</v>
      </c>
      <c r="B57" s="248">
        <f>Uniformity!C46</f>
        <v>1974.2755000000002</v>
      </c>
      <c r="H57" s="114"/>
    </row>
    <row r="58" spans="1:12" ht="19.5" customHeight="1" thickBot="1" x14ac:dyDescent="0.35">
      <c r="H58" s="114"/>
    </row>
    <row r="59" spans="1:12" s="217" customFormat="1" ht="27" customHeight="1" thickBot="1" x14ac:dyDescent="0.45">
      <c r="A59" s="159" t="s">
        <v>122</v>
      </c>
      <c r="B59" s="158">
        <v>200</v>
      </c>
      <c r="C59" s="113"/>
      <c r="D59" s="247" t="s">
        <v>84</v>
      </c>
      <c r="E59" s="246" t="s">
        <v>61</v>
      </c>
      <c r="F59" s="246" t="s">
        <v>62</v>
      </c>
      <c r="G59" s="246" t="s">
        <v>85</v>
      </c>
      <c r="H59" s="245" t="s">
        <v>86</v>
      </c>
      <c r="L59" s="218"/>
    </row>
    <row r="60" spans="1:12" s="217" customFormat="1" ht="22.5" customHeight="1" x14ac:dyDescent="0.4">
      <c r="A60" s="139" t="s">
        <v>104</v>
      </c>
      <c r="B60" s="138">
        <v>3</v>
      </c>
      <c r="C60" s="281" t="s">
        <v>87</v>
      </c>
      <c r="D60" s="284">
        <v>1985.03</v>
      </c>
      <c r="E60" s="238">
        <v>1</v>
      </c>
      <c r="F60" s="237">
        <v>1600046</v>
      </c>
      <c r="G60" s="244">
        <f>IF(ISBLANK(F60),"-",(F60/$D$50*$D$47*$B$68)*($B$57/$D$60))</f>
        <v>301.97457507623682</v>
      </c>
      <c r="H60" s="243">
        <f t="shared" ref="H60:H71" si="0">IF(ISBLANK(F60),"-",G60/$B$56)</f>
        <v>1.0065819169207895</v>
      </c>
      <c r="L60" s="218"/>
    </row>
    <row r="61" spans="1:12" s="217" customFormat="1" ht="26.25" customHeight="1" x14ac:dyDescent="0.4">
      <c r="A61" s="139" t="s">
        <v>88</v>
      </c>
      <c r="B61" s="138">
        <v>25</v>
      </c>
      <c r="C61" s="282"/>
      <c r="D61" s="285"/>
      <c r="E61" s="233">
        <v>2</v>
      </c>
      <c r="F61" s="206">
        <v>1602774</v>
      </c>
      <c r="G61" s="242">
        <f>IF(ISBLANK(F61),"-",(F61/$D$50*$D$47*$B$68)*($B$57/$D$60))</f>
        <v>302.48942692475123</v>
      </c>
      <c r="H61" s="231">
        <f t="shared" si="0"/>
        <v>1.0082980897491707</v>
      </c>
      <c r="L61" s="218"/>
    </row>
    <row r="62" spans="1:12" s="217" customFormat="1" ht="26.25" customHeight="1" x14ac:dyDescent="0.4">
      <c r="A62" s="139" t="s">
        <v>89</v>
      </c>
      <c r="B62" s="138">
        <v>1</v>
      </c>
      <c r="C62" s="282"/>
      <c r="D62" s="285"/>
      <c r="E62" s="233">
        <v>3</v>
      </c>
      <c r="F62" s="206">
        <v>1618053</v>
      </c>
      <c r="G62" s="242">
        <f>IF(ISBLANK(F62),"-",(F62/$D$50*$D$47*$B$68)*($B$57/$D$60))</f>
        <v>305.37301247953513</v>
      </c>
      <c r="H62" s="231">
        <f t="shared" si="0"/>
        <v>1.0179100415984506</v>
      </c>
      <c r="L62" s="218"/>
    </row>
    <row r="63" spans="1:12" ht="21" customHeight="1" thickBot="1" x14ac:dyDescent="0.45">
      <c r="A63" s="139" t="s">
        <v>90</v>
      </c>
      <c r="B63" s="138">
        <v>1</v>
      </c>
      <c r="C63" s="292"/>
      <c r="D63" s="286"/>
      <c r="E63" s="230">
        <v>4</v>
      </c>
      <c r="F63" s="229"/>
      <c r="G63" s="242" t="str">
        <f>IF(ISBLANK(F63),"-",(F63/$D$50*$D$47*$B$68)*($B$57/$D$60))</f>
        <v>-</v>
      </c>
      <c r="H63" s="231" t="str">
        <f t="shared" si="0"/>
        <v>-</v>
      </c>
    </row>
    <row r="64" spans="1:12" ht="26.25" customHeight="1" x14ac:dyDescent="0.4">
      <c r="A64" s="139" t="s">
        <v>91</v>
      </c>
      <c r="B64" s="138">
        <v>1</v>
      </c>
      <c r="C64" s="281" t="s">
        <v>92</v>
      </c>
      <c r="D64" s="284">
        <v>1977.56</v>
      </c>
      <c r="E64" s="238">
        <v>1</v>
      </c>
      <c r="F64" s="237">
        <v>1615973</v>
      </c>
      <c r="G64" s="236">
        <f>IF(ISBLANK(F64),"-",(F64/$D$50*$D$47*$B$68)*($B$57/$D$64))</f>
        <v>306.1324845755671</v>
      </c>
      <c r="H64" s="241">
        <f t="shared" si="0"/>
        <v>1.0204416152518903</v>
      </c>
    </row>
    <row r="65" spans="1:8" ht="26.25" customHeight="1" x14ac:dyDescent="0.4">
      <c r="A65" s="139" t="s">
        <v>93</v>
      </c>
      <c r="B65" s="138">
        <v>1</v>
      </c>
      <c r="C65" s="282"/>
      <c r="D65" s="285"/>
      <c r="E65" s="233">
        <v>2</v>
      </c>
      <c r="F65" s="206">
        <v>1617041</v>
      </c>
      <c r="G65" s="232">
        <f>IF(ISBLANK(F65),"-",(F65/$D$50*$D$47*$B$68)*($B$57/$D$64))</f>
        <v>306.33480818711672</v>
      </c>
      <c r="H65" s="240">
        <f t="shared" si="0"/>
        <v>1.021116027290389</v>
      </c>
    </row>
    <row r="66" spans="1:8" ht="26.25" customHeight="1" x14ac:dyDescent="0.4">
      <c r="A66" s="139" t="s">
        <v>94</v>
      </c>
      <c r="B66" s="138">
        <v>1</v>
      </c>
      <c r="C66" s="282"/>
      <c r="D66" s="285"/>
      <c r="E66" s="233">
        <v>3</v>
      </c>
      <c r="F66" s="206">
        <v>1619074</v>
      </c>
      <c r="G66" s="232">
        <f>IF(ISBLANK(F66),"-",(F66/$D$50*$D$47*$B$68)*($B$57/$D$64))</f>
        <v>306.71994292707973</v>
      </c>
      <c r="H66" s="240">
        <f t="shared" si="0"/>
        <v>1.0223998097569325</v>
      </c>
    </row>
    <row r="67" spans="1:8" ht="21" customHeight="1" thickBot="1" x14ac:dyDescent="0.45">
      <c r="A67" s="139" t="s">
        <v>95</v>
      </c>
      <c r="B67" s="138">
        <v>1</v>
      </c>
      <c r="C67" s="292"/>
      <c r="D67" s="286"/>
      <c r="E67" s="230">
        <v>4</v>
      </c>
      <c r="F67" s="229"/>
      <c r="G67" s="228" t="str">
        <f>IF(ISBLANK(F67),"-",(F67/$D$50*$D$47*$B$68)*($B$57/$D$64))</f>
        <v>-</v>
      </c>
      <c r="H67" s="239" t="str">
        <f t="shared" si="0"/>
        <v>-</v>
      </c>
    </row>
    <row r="68" spans="1:8" ht="21.75" customHeight="1" x14ac:dyDescent="0.4">
      <c r="A68" s="139" t="s">
        <v>96</v>
      </c>
      <c r="B68" s="166">
        <f>(B67/B66)*(B65/B64)*(B63/B62)*(B61/B60)*B59</f>
        <v>1666.6666666666667</v>
      </c>
      <c r="C68" s="281" t="s">
        <v>97</v>
      </c>
      <c r="D68" s="284">
        <v>1770.66</v>
      </c>
      <c r="E68" s="238">
        <v>1</v>
      </c>
      <c r="F68" s="237">
        <v>1389701</v>
      </c>
      <c r="G68" s="236">
        <f>IF(ISBLANK(F68),"-",(F68/$D$50*$D$47*$B$68)*($B$57/$D$68))</f>
        <v>294.02968497235833</v>
      </c>
      <c r="H68" s="231">
        <f t="shared" si="0"/>
        <v>0.98009894990786106</v>
      </c>
    </row>
    <row r="69" spans="1:8" ht="21.75" customHeight="1" thickBot="1" x14ac:dyDescent="0.45">
      <c r="A69" s="235" t="s">
        <v>98</v>
      </c>
      <c r="B69" s="234">
        <f>D47*B68/B56*B57</f>
        <v>2188.1553458333342</v>
      </c>
      <c r="C69" s="282"/>
      <c r="D69" s="285"/>
      <c r="E69" s="233">
        <v>2</v>
      </c>
      <c r="F69" s="206">
        <v>1391687</v>
      </c>
      <c r="G69" s="232">
        <f>IF(ISBLANK(F69),"-",(F69/$D$50*$D$47*$B$68)*($B$57/$D$68))</f>
        <v>294.44987820410756</v>
      </c>
      <c r="H69" s="231">
        <f t="shared" si="0"/>
        <v>0.98149959401369191</v>
      </c>
    </row>
    <row r="70" spans="1:8" ht="22.5" customHeight="1" x14ac:dyDescent="0.4">
      <c r="A70" s="302" t="s">
        <v>74</v>
      </c>
      <c r="B70" s="303"/>
      <c r="C70" s="282"/>
      <c r="D70" s="285"/>
      <c r="E70" s="233">
        <v>3</v>
      </c>
      <c r="F70" s="206">
        <v>1390572</v>
      </c>
      <c r="G70" s="232">
        <f>IF(ISBLANK(F70),"-",(F70/$D$50*$D$47*$B$68)*($B$57/$D$68))</f>
        <v>294.21396911377502</v>
      </c>
      <c r="H70" s="231">
        <f t="shared" si="0"/>
        <v>0.98071323037925007</v>
      </c>
    </row>
    <row r="71" spans="1:8" ht="21.75" customHeight="1" thickBot="1" x14ac:dyDescent="0.45">
      <c r="A71" s="304"/>
      <c r="B71" s="305"/>
      <c r="C71" s="283"/>
      <c r="D71" s="286"/>
      <c r="E71" s="230">
        <v>4</v>
      </c>
      <c r="F71" s="229"/>
      <c r="G71" s="228" t="str">
        <f>IF(ISBLANK(F71),"-",(F71/$D$50*$D$47*$B$68)*($B$57/$D$68))</f>
        <v>-</v>
      </c>
      <c r="H71" s="227" t="str">
        <f t="shared" si="0"/>
        <v>-</v>
      </c>
    </row>
    <row r="72" spans="1:8" ht="26.25" customHeight="1" x14ac:dyDescent="0.4">
      <c r="A72" s="114"/>
      <c r="B72" s="114"/>
      <c r="C72" s="114"/>
      <c r="D72" s="114"/>
      <c r="E72" s="114"/>
      <c r="F72" s="114"/>
      <c r="G72" s="226" t="s">
        <v>69</v>
      </c>
      <c r="H72" s="225">
        <f>AVERAGE(H60:H71)</f>
        <v>1.004339919429825</v>
      </c>
    </row>
    <row r="73" spans="1:8" ht="26.25" customHeight="1" x14ac:dyDescent="0.4">
      <c r="C73" s="114"/>
      <c r="D73" s="114"/>
      <c r="E73" s="114"/>
      <c r="F73" s="114"/>
      <c r="G73" s="178" t="s">
        <v>79</v>
      </c>
      <c r="H73" s="224">
        <f>STDEV(H60:H71)/H72</f>
        <v>1.8424193486780129E-2</v>
      </c>
    </row>
    <row r="74" spans="1:8" ht="27" customHeight="1" thickBot="1" x14ac:dyDescent="0.45">
      <c r="A74" s="114"/>
      <c r="B74" s="114"/>
      <c r="C74" s="114"/>
      <c r="D74" s="114"/>
      <c r="E74" s="115"/>
      <c r="F74" s="114"/>
      <c r="G74" s="176" t="s">
        <v>20</v>
      </c>
      <c r="H74" s="223">
        <f>COUNT(H60:H71)</f>
        <v>9</v>
      </c>
    </row>
    <row r="75" spans="1:8" ht="18.75" x14ac:dyDescent="0.3">
      <c r="A75" s="114"/>
      <c r="B75" s="114"/>
      <c r="C75" s="114"/>
      <c r="D75" s="114"/>
      <c r="E75" s="115"/>
      <c r="F75" s="114"/>
      <c r="G75" s="128"/>
      <c r="H75" s="127"/>
    </row>
    <row r="76" spans="1:8" ht="18.75" x14ac:dyDescent="0.3">
      <c r="A76" s="119" t="s">
        <v>114</v>
      </c>
      <c r="B76" s="128" t="s">
        <v>105</v>
      </c>
      <c r="C76" s="276" t="str">
        <f>B20</f>
        <v>ATAZANAVIR</v>
      </c>
      <c r="D76" s="276"/>
      <c r="E76" s="113" t="s">
        <v>121</v>
      </c>
      <c r="F76" s="113"/>
      <c r="G76" s="126">
        <f>H72</f>
        <v>1.004339919429825</v>
      </c>
      <c r="H76" s="127"/>
    </row>
    <row r="77" spans="1:8" ht="18.75" x14ac:dyDescent="0.3">
      <c r="A77" s="114"/>
      <c r="B77" s="114"/>
      <c r="C77" s="114"/>
      <c r="D77" s="114"/>
      <c r="E77" s="115"/>
      <c r="F77" s="114"/>
      <c r="G77" s="128"/>
      <c r="H77" s="127"/>
    </row>
    <row r="78" spans="1:8" ht="26.25" customHeight="1" x14ac:dyDescent="0.4">
      <c r="A78" s="162" t="s">
        <v>117</v>
      </c>
      <c r="B78" s="162" t="s">
        <v>116</v>
      </c>
      <c r="D78" s="161">
        <v>45</v>
      </c>
    </row>
    <row r="79" spans="1:8" ht="18.75" x14ac:dyDescent="0.3">
      <c r="A79" s="162"/>
      <c r="B79" s="162"/>
    </row>
    <row r="80" spans="1:8" ht="26.25" customHeight="1" x14ac:dyDescent="0.4">
      <c r="A80" s="119" t="s">
        <v>4</v>
      </c>
      <c r="B80" s="192" t="str">
        <f>B26</f>
        <v xml:space="preserve">Atazanavir </v>
      </c>
      <c r="C80" s="222"/>
    </row>
    <row r="81" spans="1:12" ht="26.25" customHeight="1" x14ac:dyDescent="0.4">
      <c r="A81" s="128" t="s">
        <v>48</v>
      </c>
      <c r="B81" s="192" t="s">
        <v>112</v>
      </c>
    </row>
    <row r="82" spans="1:12" ht="27" customHeight="1" thickBot="1" x14ac:dyDescent="0.45">
      <c r="A82" s="128" t="s">
        <v>6</v>
      </c>
      <c r="B82" s="192">
        <v>98.8</v>
      </c>
    </row>
    <row r="83" spans="1:12" s="217" customFormat="1" ht="27" customHeight="1" thickBot="1" x14ac:dyDescent="0.45">
      <c r="A83" s="128" t="s">
        <v>49</v>
      </c>
      <c r="B83" s="192">
        <f>B29</f>
        <v>0</v>
      </c>
      <c r="C83" s="294" t="s">
        <v>50</v>
      </c>
      <c r="D83" s="295"/>
      <c r="E83" s="295"/>
      <c r="F83" s="295"/>
      <c r="G83" s="296"/>
      <c r="I83" s="218"/>
      <c r="J83" s="218"/>
      <c r="K83" s="218"/>
      <c r="L83" s="218"/>
    </row>
    <row r="84" spans="1:12" s="217" customFormat="1" ht="18.75" x14ac:dyDescent="0.3">
      <c r="A84" s="128" t="s">
        <v>51</v>
      </c>
      <c r="B84" s="127">
        <f>B82-B83</f>
        <v>98.8</v>
      </c>
      <c r="C84" s="220"/>
      <c r="D84" s="220"/>
      <c r="E84" s="220"/>
      <c r="F84" s="220"/>
      <c r="G84" s="219"/>
      <c r="I84" s="218"/>
      <c r="J84" s="218"/>
      <c r="K84" s="218"/>
      <c r="L84" s="218"/>
    </row>
    <row r="85" spans="1:12" s="217" customFormat="1" ht="19.5" customHeight="1" thickBot="1" x14ac:dyDescent="0.35">
      <c r="A85" s="128"/>
      <c r="B85" s="127"/>
      <c r="C85" s="220"/>
      <c r="D85" s="220"/>
      <c r="E85" s="220"/>
      <c r="F85" s="220"/>
      <c r="G85" s="219"/>
      <c r="I85" s="218"/>
      <c r="J85" s="218"/>
      <c r="K85" s="218"/>
      <c r="L85" s="218"/>
    </row>
    <row r="86" spans="1:12" s="217" customFormat="1" ht="27" customHeight="1" thickBot="1" x14ac:dyDescent="0.45">
      <c r="A86" s="128" t="s">
        <v>52</v>
      </c>
      <c r="B86" s="221">
        <v>704.85599999999999</v>
      </c>
      <c r="C86" s="297" t="s">
        <v>53</v>
      </c>
      <c r="D86" s="298"/>
      <c r="E86" s="298"/>
      <c r="F86" s="298"/>
      <c r="G86" s="298"/>
      <c r="H86" s="299"/>
      <c r="I86" s="218"/>
      <c r="J86" s="218"/>
      <c r="K86" s="218"/>
      <c r="L86" s="218"/>
    </row>
    <row r="87" spans="1:12" s="217" customFormat="1" ht="27" customHeight="1" thickBot="1" x14ac:dyDescent="0.45">
      <c r="A87" s="128" t="s">
        <v>54</v>
      </c>
      <c r="B87" s="221">
        <v>802.93299999999999</v>
      </c>
      <c r="C87" s="297" t="s">
        <v>55</v>
      </c>
      <c r="D87" s="298"/>
      <c r="E87" s="298"/>
      <c r="F87" s="298"/>
      <c r="G87" s="298"/>
      <c r="H87" s="299"/>
      <c r="I87" s="218"/>
      <c r="J87" s="218"/>
      <c r="K87" s="218"/>
      <c r="L87" s="218"/>
    </row>
    <row r="88" spans="1:12" s="217" customFormat="1" ht="18.75" x14ac:dyDescent="0.3">
      <c r="A88" s="128"/>
      <c r="B88" s="127"/>
      <c r="C88" s="220"/>
      <c r="D88" s="220"/>
      <c r="E88" s="220"/>
      <c r="F88" s="220"/>
      <c r="G88" s="219"/>
      <c r="I88" s="218"/>
      <c r="J88" s="218"/>
      <c r="K88" s="218"/>
      <c r="L88" s="218"/>
    </row>
    <row r="89" spans="1:12" ht="18.75" x14ac:dyDescent="0.3">
      <c r="A89" s="128" t="s">
        <v>56</v>
      </c>
      <c r="B89" s="216">
        <f>B86/B87</f>
        <v>0.87785157665708102</v>
      </c>
      <c r="C89" s="113" t="s">
        <v>57</v>
      </c>
    </row>
    <row r="90" spans="1:12" ht="19.5" customHeight="1" thickBot="1" x14ac:dyDescent="0.35">
      <c r="A90" s="128"/>
      <c r="B90" s="216"/>
    </row>
    <row r="91" spans="1:12" ht="27" customHeight="1" thickBot="1" x14ac:dyDescent="0.45">
      <c r="A91" s="159" t="s">
        <v>120</v>
      </c>
      <c r="B91" s="158">
        <v>50</v>
      </c>
      <c r="D91" s="157" t="s">
        <v>58</v>
      </c>
      <c r="E91" s="215"/>
      <c r="F91" s="277" t="s">
        <v>59</v>
      </c>
      <c r="G91" s="278"/>
    </row>
    <row r="92" spans="1:12" ht="26.25" customHeight="1" x14ac:dyDescent="0.4">
      <c r="A92" s="139" t="s">
        <v>60</v>
      </c>
      <c r="B92" s="138">
        <v>1</v>
      </c>
      <c r="C92" s="123" t="s">
        <v>119</v>
      </c>
      <c r="D92" s="213" t="s">
        <v>62</v>
      </c>
      <c r="E92" s="214" t="s">
        <v>63</v>
      </c>
      <c r="F92" s="213" t="s">
        <v>62</v>
      </c>
      <c r="G92" s="212" t="s">
        <v>63</v>
      </c>
    </row>
    <row r="93" spans="1:12" ht="26.25" customHeight="1" x14ac:dyDescent="0.4">
      <c r="A93" s="139" t="s">
        <v>64</v>
      </c>
      <c r="B93" s="138">
        <v>1</v>
      </c>
      <c r="C93" s="211">
        <v>1</v>
      </c>
      <c r="D93" s="209">
        <v>1192504</v>
      </c>
      <c r="E93" s="210">
        <f>IF(ISBLANK(D93),"-",$D$103/$D$100*D93)</f>
        <v>1353281.3554095461</v>
      </c>
      <c r="F93" s="209">
        <v>1169578</v>
      </c>
      <c r="G93" s="208">
        <f>IF(ISBLANK(F93),"-",$D$103/$F$100*F93)</f>
        <v>1349400.2263246661</v>
      </c>
    </row>
    <row r="94" spans="1:12" ht="26.25" customHeight="1" x14ac:dyDescent="0.4">
      <c r="A94" s="139" t="s">
        <v>65</v>
      </c>
      <c r="B94" s="138">
        <v>1</v>
      </c>
      <c r="C94" s="114">
        <v>2</v>
      </c>
      <c r="D94" s="206">
        <v>1180540</v>
      </c>
      <c r="E94" s="207">
        <f>IF(ISBLANK(D94),"-",$D$103/$D$100*D94)</f>
        <v>1339704.3291386741</v>
      </c>
      <c r="F94" s="206">
        <v>1172120</v>
      </c>
      <c r="G94" s="205">
        <f>IF(ISBLANK(F94),"-",$D$103/$F$100*F94)</f>
        <v>1352333.0579744726</v>
      </c>
    </row>
    <row r="95" spans="1:12" ht="26.25" customHeight="1" x14ac:dyDescent="0.4">
      <c r="A95" s="139" t="s">
        <v>66</v>
      </c>
      <c r="B95" s="138">
        <v>1</v>
      </c>
      <c r="C95" s="114">
        <v>3</v>
      </c>
      <c r="D95" s="206">
        <v>1183249</v>
      </c>
      <c r="E95" s="207">
        <f>IF(ISBLANK(D95),"-",$D$103/$D$100*D95)</f>
        <v>1342778.5655284929</v>
      </c>
      <c r="F95" s="206">
        <v>1171319</v>
      </c>
      <c r="G95" s="205">
        <f>IF(ISBLANK(F95),"-",$D$103/$F$100*F95)</f>
        <v>1351408.9044923738</v>
      </c>
    </row>
    <row r="96" spans="1:12" ht="26.25" customHeight="1" x14ac:dyDescent="0.4">
      <c r="A96" s="139" t="s">
        <v>67</v>
      </c>
      <c r="B96" s="138">
        <v>1</v>
      </c>
      <c r="C96" s="204">
        <v>4</v>
      </c>
      <c r="D96" s="203"/>
      <c r="E96" s="202" t="str">
        <f>IF(ISBLANK(D96),"-",$D$103/$D$100*D96)</f>
        <v>-</v>
      </c>
      <c r="F96" s="201"/>
      <c r="G96" s="200" t="str">
        <f>IF(ISBLANK(F96),"-",$D$103/$F$100*F96)</f>
        <v>-</v>
      </c>
    </row>
    <row r="97" spans="1:10" ht="27" customHeight="1" thickBot="1" x14ac:dyDescent="0.45">
      <c r="A97" s="139" t="s">
        <v>68</v>
      </c>
      <c r="B97" s="138">
        <v>1</v>
      </c>
      <c r="C97" s="128" t="s">
        <v>69</v>
      </c>
      <c r="D97" s="199">
        <f>AVERAGE(D93:D96)</f>
        <v>1185431</v>
      </c>
      <c r="E97" s="198">
        <f>AVERAGE(E93:E96)</f>
        <v>1345254.7500255711</v>
      </c>
      <c r="F97" s="197">
        <f>AVERAGE(F93:F96)</f>
        <v>1171005.6666666667</v>
      </c>
      <c r="G97" s="196">
        <f>AVERAGE(G93:G96)</f>
        <v>1351047.3962638376</v>
      </c>
    </row>
    <row r="98" spans="1:10" ht="26.25" customHeight="1" x14ac:dyDescent="0.4">
      <c r="A98" s="139" t="s">
        <v>70</v>
      </c>
      <c r="B98" s="192">
        <v>1</v>
      </c>
      <c r="C98" s="195" t="s">
        <v>99</v>
      </c>
      <c r="D98" s="194">
        <v>15.24</v>
      </c>
      <c r="E98" s="113"/>
      <c r="F98" s="193">
        <v>14.99</v>
      </c>
    </row>
    <row r="99" spans="1:10" ht="26.25" customHeight="1" x14ac:dyDescent="0.4">
      <c r="A99" s="139" t="s">
        <v>71</v>
      </c>
      <c r="B99" s="192">
        <v>1</v>
      </c>
      <c r="C99" s="187" t="s">
        <v>100</v>
      </c>
      <c r="D99" s="186">
        <f>D98*$B$89</f>
        <v>13.378458028253915</v>
      </c>
      <c r="E99" s="114"/>
      <c r="F99" s="191">
        <f>F98*$B$89</f>
        <v>13.158995134089645</v>
      </c>
    </row>
    <row r="100" spans="1:10" ht="19.5" customHeight="1" thickBot="1" x14ac:dyDescent="0.35">
      <c r="A100" s="139" t="s">
        <v>72</v>
      </c>
      <c r="B100" s="127">
        <f>(B99/B98)*(B97/B96)*(B95/B94)*(B93/B92)*B91</f>
        <v>50</v>
      </c>
      <c r="C100" s="187" t="s">
        <v>73</v>
      </c>
      <c r="D100" s="188">
        <f>D99*$B$84/100</f>
        <v>13.217916531914868</v>
      </c>
      <c r="E100" s="115"/>
      <c r="F100" s="190">
        <f>F99*$B$84/100</f>
        <v>13.00108719248057</v>
      </c>
    </row>
    <row r="101" spans="1:10" ht="19.5" customHeight="1" thickBot="1" x14ac:dyDescent="0.35">
      <c r="A101" s="272" t="s">
        <v>74</v>
      </c>
      <c r="B101" s="279"/>
      <c r="C101" s="187" t="s">
        <v>75</v>
      </c>
      <c r="D101" s="186">
        <f>D100/$B$100</f>
        <v>0.26435833063829739</v>
      </c>
      <c r="E101" s="115"/>
      <c r="F101" s="189">
        <f>F100/$B$100</f>
        <v>0.26002174384961141</v>
      </c>
      <c r="H101" s="174"/>
    </row>
    <row r="102" spans="1:10" ht="19.5" customHeight="1" thickBot="1" x14ac:dyDescent="0.35">
      <c r="A102" s="274"/>
      <c r="B102" s="280"/>
      <c r="C102" s="187" t="s">
        <v>118</v>
      </c>
      <c r="D102" s="188">
        <f>$B$56/$B$118</f>
        <v>0.3</v>
      </c>
      <c r="F102" s="185"/>
      <c r="G102" s="179"/>
      <c r="H102" s="174"/>
    </row>
    <row r="103" spans="1:10" ht="18.75" x14ac:dyDescent="0.3">
      <c r="C103" s="187" t="s">
        <v>76</v>
      </c>
      <c r="D103" s="186">
        <f>D102*$B$100</f>
        <v>15</v>
      </c>
      <c r="F103" s="185"/>
      <c r="H103" s="174"/>
    </row>
    <row r="104" spans="1:10" ht="19.5" customHeight="1" thickBot="1" x14ac:dyDescent="0.35">
      <c r="C104" s="184" t="s">
        <v>77</v>
      </c>
      <c r="D104" s="183">
        <f>D103/B34</f>
        <v>17.087170996629098</v>
      </c>
      <c r="F104" s="175"/>
      <c r="H104" s="174"/>
      <c r="J104" s="182"/>
    </row>
    <row r="105" spans="1:10" ht="18.75" x14ac:dyDescent="0.3">
      <c r="C105" s="181" t="s">
        <v>78</v>
      </c>
      <c r="D105" s="180">
        <f>AVERAGE(E93:E96,G93:G96)</f>
        <v>1348151.0731447043</v>
      </c>
      <c r="F105" s="175"/>
      <c r="G105" s="179"/>
      <c r="H105" s="174"/>
      <c r="J105" s="163"/>
    </row>
    <row r="106" spans="1:10" ht="18.75" x14ac:dyDescent="0.3">
      <c r="C106" s="178" t="s">
        <v>79</v>
      </c>
      <c r="D106" s="177">
        <f>STDEV(E93:E96,G93:G96)/D105</f>
        <v>4.1458020317992755E-3</v>
      </c>
      <c r="F106" s="175"/>
      <c r="H106" s="174"/>
      <c r="J106" s="163"/>
    </row>
    <row r="107" spans="1:10" ht="19.5" customHeight="1" thickBot="1" x14ac:dyDescent="0.35">
      <c r="C107" s="176" t="s">
        <v>20</v>
      </c>
      <c r="D107" s="164">
        <f>COUNT(E93:E96,G93:G96)</f>
        <v>6</v>
      </c>
      <c r="F107" s="175"/>
      <c r="H107" s="174"/>
      <c r="J107" s="163"/>
    </row>
    <row r="108" spans="1:10" ht="19.5" customHeight="1" thickBot="1" x14ac:dyDescent="0.35">
      <c r="A108" s="160"/>
      <c r="B108" s="160"/>
      <c r="C108" s="160"/>
      <c r="D108" s="160"/>
      <c r="E108" s="160"/>
    </row>
    <row r="109" spans="1:10" ht="26.25" customHeight="1" x14ac:dyDescent="0.4">
      <c r="A109" s="159" t="s">
        <v>101</v>
      </c>
      <c r="B109" s="158">
        <v>1000</v>
      </c>
      <c r="C109" s="157" t="s">
        <v>115</v>
      </c>
      <c r="D109" s="156" t="s">
        <v>62</v>
      </c>
      <c r="E109" s="155" t="s">
        <v>102</v>
      </c>
      <c r="F109" s="154" t="s">
        <v>103</v>
      </c>
    </row>
    <row r="110" spans="1:10" ht="26.25" customHeight="1" x14ac:dyDescent="0.4">
      <c r="A110" s="139" t="s">
        <v>104</v>
      </c>
      <c r="B110" s="138">
        <v>1</v>
      </c>
      <c r="C110" s="143">
        <v>1</v>
      </c>
      <c r="D110" s="151">
        <v>1066240</v>
      </c>
      <c r="E110" s="173">
        <f t="shared" ref="E110:E115" si="1">IF(ISBLANK(D110),"-",D110/$D$105*$D$102*$B$118)</f>
        <v>237.26717752326144</v>
      </c>
      <c r="F110" s="172">
        <f t="shared" ref="F110:F115" si="2">IF(ISBLANK(D110), "-", E110/$B$56)</f>
        <v>0.79089059174420484</v>
      </c>
    </row>
    <row r="111" spans="1:10" ht="26.25" customHeight="1" x14ac:dyDescent="0.4">
      <c r="A111" s="139" t="s">
        <v>88</v>
      </c>
      <c r="B111" s="138">
        <v>1</v>
      </c>
      <c r="C111" s="143">
        <v>2</v>
      </c>
      <c r="D111" s="151">
        <v>1067483</v>
      </c>
      <c r="E111" s="171">
        <f t="shared" si="1"/>
        <v>237.5437785714883</v>
      </c>
      <c r="F111" s="170">
        <f t="shared" si="2"/>
        <v>0.79181259523829439</v>
      </c>
    </row>
    <row r="112" spans="1:10" ht="26.25" customHeight="1" x14ac:dyDescent="0.4">
      <c r="A112" s="139" t="s">
        <v>89</v>
      </c>
      <c r="B112" s="138">
        <v>1</v>
      </c>
      <c r="C112" s="143">
        <v>3</v>
      </c>
      <c r="D112" s="151">
        <v>1065451</v>
      </c>
      <c r="E112" s="171">
        <f t="shared" si="1"/>
        <v>237.09160372836928</v>
      </c>
      <c r="F112" s="170">
        <f t="shared" si="2"/>
        <v>0.7903053457612309</v>
      </c>
    </row>
    <row r="113" spans="1:10" ht="26.25" customHeight="1" x14ac:dyDescent="0.4">
      <c r="A113" s="139" t="s">
        <v>90</v>
      </c>
      <c r="B113" s="138">
        <v>1</v>
      </c>
      <c r="C113" s="143">
        <v>4</v>
      </c>
      <c r="D113" s="151">
        <v>1066264</v>
      </c>
      <c r="E113" s="171">
        <f t="shared" si="1"/>
        <v>237.27251817101481</v>
      </c>
      <c r="F113" s="170">
        <f t="shared" si="2"/>
        <v>0.79090839390338274</v>
      </c>
    </row>
    <row r="114" spans="1:10" ht="26.25" customHeight="1" x14ac:dyDescent="0.4">
      <c r="A114" s="139" t="s">
        <v>91</v>
      </c>
      <c r="B114" s="138">
        <v>1</v>
      </c>
      <c r="C114" s="143">
        <v>5</v>
      </c>
      <c r="D114" s="151">
        <v>1065772</v>
      </c>
      <c r="E114" s="171">
        <f t="shared" si="1"/>
        <v>237.16303489207064</v>
      </c>
      <c r="F114" s="170">
        <f t="shared" si="2"/>
        <v>0.79054344964023548</v>
      </c>
    </row>
    <row r="115" spans="1:10" ht="26.25" customHeight="1" x14ac:dyDescent="0.4">
      <c r="A115" s="139" t="s">
        <v>93</v>
      </c>
      <c r="B115" s="138">
        <v>1</v>
      </c>
      <c r="C115" s="148">
        <v>6</v>
      </c>
      <c r="D115" s="147">
        <v>1067293</v>
      </c>
      <c r="E115" s="169">
        <f t="shared" si="1"/>
        <v>237.50149844344077</v>
      </c>
      <c r="F115" s="168">
        <f t="shared" si="2"/>
        <v>0.79167166147813584</v>
      </c>
    </row>
    <row r="116" spans="1:10" ht="26.25" customHeight="1" x14ac:dyDescent="0.4">
      <c r="A116" s="139" t="s">
        <v>94</v>
      </c>
      <c r="B116" s="138">
        <v>1</v>
      </c>
      <c r="C116" s="143"/>
      <c r="D116" s="114"/>
      <c r="E116" s="113"/>
      <c r="F116" s="144"/>
    </row>
    <row r="117" spans="1:10" ht="26.25" customHeight="1" x14ac:dyDescent="0.4">
      <c r="A117" s="139" t="s">
        <v>95</v>
      </c>
      <c r="B117" s="138">
        <v>1</v>
      </c>
      <c r="C117" s="143"/>
      <c r="D117" s="142"/>
      <c r="E117" s="141" t="s">
        <v>69</v>
      </c>
      <c r="F117" s="167">
        <f>AVERAGE(F110:F115)</f>
        <v>0.79102200629424735</v>
      </c>
    </row>
    <row r="118" spans="1:10" ht="19.5" customHeight="1" thickBot="1" x14ac:dyDescent="0.35">
      <c r="A118" s="139" t="s">
        <v>96</v>
      </c>
      <c r="B118" s="166">
        <f>(B117/B116)*(B115/B114)*(B113/B112)*(B111/B110)*B109</f>
        <v>1000</v>
      </c>
      <c r="C118" s="137"/>
      <c r="D118" s="136"/>
      <c r="E118" s="128" t="s">
        <v>79</v>
      </c>
      <c r="F118" s="165">
        <f>STDEV(F110:F115)/F117</f>
        <v>7.6268938005950534E-4</v>
      </c>
      <c r="I118" s="113"/>
    </row>
    <row r="119" spans="1:10" ht="19.5" customHeight="1" thickBot="1" x14ac:dyDescent="0.35">
      <c r="A119" s="272" t="s">
        <v>74</v>
      </c>
      <c r="B119" s="273"/>
      <c r="C119" s="134"/>
      <c r="D119" s="133"/>
      <c r="E119" s="132" t="s">
        <v>20</v>
      </c>
      <c r="F119" s="164">
        <f>COUNT(F110:F115)</f>
        <v>6</v>
      </c>
      <c r="I119" s="113"/>
      <c r="J119" s="163"/>
    </row>
    <row r="120" spans="1:10" ht="19.5" customHeight="1" thickBot="1" x14ac:dyDescent="0.35">
      <c r="A120" s="274"/>
      <c r="B120" s="275"/>
      <c r="C120" s="113"/>
      <c r="D120" s="113"/>
      <c r="E120" s="113"/>
      <c r="F120" s="114"/>
      <c r="G120" s="113"/>
      <c r="H120" s="113"/>
      <c r="I120" s="113"/>
    </row>
    <row r="121" spans="1:10" ht="18.75" x14ac:dyDescent="0.3">
      <c r="A121" s="130"/>
      <c r="B121" s="130"/>
      <c r="C121" s="113"/>
      <c r="D121" s="113"/>
      <c r="E121" s="113"/>
      <c r="F121" s="114"/>
      <c r="G121" s="113"/>
      <c r="H121" s="113"/>
      <c r="I121" s="113"/>
    </row>
    <row r="122" spans="1:10" ht="18.75" x14ac:dyDescent="0.3">
      <c r="A122" s="119" t="s">
        <v>114</v>
      </c>
      <c r="B122" s="128" t="s">
        <v>105</v>
      </c>
      <c r="C122" s="276" t="str">
        <f>B20</f>
        <v>ATAZANAVIR</v>
      </c>
      <c r="D122" s="276"/>
      <c r="E122" s="113" t="s">
        <v>106</v>
      </c>
      <c r="F122" s="113"/>
      <c r="G122" s="126">
        <f>F117</f>
        <v>0.79102200629424735</v>
      </c>
      <c r="H122" s="113"/>
      <c r="I122" s="113"/>
    </row>
    <row r="123" spans="1:10" ht="18.75" x14ac:dyDescent="0.3">
      <c r="A123" s="130"/>
      <c r="B123" s="130"/>
      <c r="C123" s="113"/>
      <c r="D123" s="113"/>
      <c r="E123" s="113"/>
      <c r="F123" s="114"/>
      <c r="G123" s="113"/>
      <c r="H123" s="113"/>
      <c r="I123" s="113"/>
    </row>
    <row r="124" spans="1:10" ht="26.25" customHeight="1" x14ac:dyDescent="0.4">
      <c r="A124" s="162" t="s">
        <v>117</v>
      </c>
      <c r="B124" s="162" t="s">
        <v>116</v>
      </c>
      <c r="D124" s="161" t="s">
        <v>127</v>
      </c>
    </row>
    <row r="125" spans="1:10" ht="19.5" customHeight="1" thickBot="1" x14ac:dyDescent="0.35">
      <c r="A125" s="160"/>
      <c r="B125" s="160"/>
      <c r="C125" s="160"/>
      <c r="D125" s="160"/>
      <c r="E125" s="160"/>
    </row>
    <row r="126" spans="1:10" ht="26.25" customHeight="1" x14ac:dyDescent="0.4">
      <c r="A126" s="159" t="s">
        <v>101</v>
      </c>
      <c r="B126" s="158">
        <v>1000</v>
      </c>
      <c r="C126" s="157" t="s">
        <v>115</v>
      </c>
      <c r="D126" s="156" t="s">
        <v>62</v>
      </c>
      <c r="E126" s="155" t="s">
        <v>102</v>
      </c>
      <c r="F126" s="154" t="s">
        <v>103</v>
      </c>
    </row>
    <row r="127" spans="1:10" ht="26.25" customHeight="1" x14ac:dyDescent="0.4">
      <c r="A127" s="139" t="s">
        <v>104</v>
      </c>
      <c r="B127" s="138">
        <v>1</v>
      </c>
      <c r="C127" s="143">
        <v>1</v>
      </c>
      <c r="D127" s="151">
        <v>1358761</v>
      </c>
      <c r="E127" s="153">
        <f t="shared" ref="E127:E132" si="3">IF(ISBLANK(D127),"-",D127/$D$105*$D$102*$B$135)</f>
        <v>302.36099508430021</v>
      </c>
      <c r="F127" s="316">
        <f t="shared" ref="F127:F132" si="4">IF(ISBLANK(D127), "-", E127/$B$56)</f>
        <v>1.0078699836143341</v>
      </c>
    </row>
    <row r="128" spans="1:10" ht="26.25" customHeight="1" x14ac:dyDescent="0.4">
      <c r="A128" s="139" t="s">
        <v>88</v>
      </c>
      <c r="B128" s="138">
        <v>1</v>
      </c>
      <c r="C128" s="143">
        <v>2</v>
      </c>
      <c r="D128" s="151">
        <v>1363200</v>
      </c>
      <c r="E128" s="150">
        <f t="shared" si="3"/>
        <v>303.34879239168481</v>
      </c>
      <c r="F128" s="317">
        <f t="shared" si="4"/>
        <v>1.0111626413056161</v>
      </c>
    </row>
    <row r="129" spans="1:10" ht="26.25" customHeight="1" x14ac:dyDescent="0.4">
      <c r="A129" s="139" t="s">
        <v>89</v>
      </c>
      <c r="B129" s="138">
        <v>1</v>
      </c>
      <c r="C129" s="143">
        <v>3</v>
      </c>
      <c r="D129" s="151">
        <v>1363886</v>
      </c>
      <c r="E129" s="150">
        <f t="shared" si="3"/>
        <v>303.50144590663541</v>
      </c>
      <c r="F129" s="317">
        <f t="shared" si="4"/>
        <v>1.0116714863554515</v>
      </c>
    </row>
    <row r="130" spans="1:10" ht="26.25" customHeight="1" x14ac:dyDescent="0.4">
      <c r="A130" s="139" t="s">
        <v>90</v>
      </c>
      <c r="B130" s="138">
        <v>1</v>
      </c>
      <c r="C130" s="143">
        <v>4</v>
      </c>
      <c r="D130" s="151">
        <v>1363658</v>
      </c>
      <c r="E130" s="150">
        <f t="shared" si="3"/>
        <v>303.45070975297841</v>
      </c>
      <c r="F130" s="317">
        <f t="shared" si="4"/>
        <v>1.0115023658432614</v>
      </c>
    </row>
    <row r="131" spans="1:10" ht="26.25" customHeight="1" x14ac:dyDescent="0.4">
      <c r="A131" s="139" t="s">
        <v>91</v>
      </c>
      <c r="B131" s="138">
        <v>1</v>
      </c>
      <c r="C131" s="143">
        <v>5</v>
      </c>
      <c r="D131" s="151">
        <v>1369386</v>
      </c>
      <c r="E131" s="150">
        <f t="shared" si="3"/>
        <v>304.7253443501171</v>
      </c>
      <c r="F131" s="317">
        <f t="shared" si="4"/>
        <v>1.0157511478337236</v>
      </c>
    </row>
    <row r="132" spans="1:10" ht="26.25" customHeight="1" x14ac:dyDescent="0.4">
      <c r="A132" s="139" t="s">
        <v>93</v>
      </c>
      <c r="B132" s="138">
        <v>1</v>
      </c>
      <c r="C132" s="148">
        <v>6</v>
      </c>
      <c r="D132" s="147">
        <v>1366931</v>
      </c>
      <c r="E132" s="146">
        <f t="shared" si="3"/>
        <v>304.17904059034487</v>
      </c>
      <c r="F132" s="318">
        <f t="shared" si="4"/>
        <v>1.0139301353011496</v>
      </c>
    </row>
    <row r="133" spans="1:10" ht="26.25" customHeight="1" x14ac:dyDescent="0.4">
      <c r="A133" s="139" t="s">
        <v>94</v>
      </c>
      <c r="B133" s="138">
        <v>1</v>
      </c>
      <c r="C133" s="143"/>
      <c r="D133" s="114"/>
      <c r="E133" s="113"/>
      <c r="F133" s="144"/>
    </row>
    <row r="134" spans="1:10" ht="26.25" customHeight="1" x14ac:dyDescent="0.4">
      <c r="A134" s="139" t="s">
        <v>95</v>
      </c>
      <c r="B134" s="138">
        <v>1</v>
      </c>
      <c r="C134" s="143"/>
      <c r="D134" s="142"/>
      <c r="E134" s="141" t="s">
        <v>69</v>
      </c>
      <c r="F134" s="140">
        <f>AVERAGE(F127:F132)</f>
        <v>1.0119812933755894</v>
      </c>
    </row>
    <row r="135" spans="1:10" ht="27" customHeight="1" thickBot="1" x14ac:dyDescent="0.45">
      <c r="A135" s="139" t="s">
        <v>96</v>
      </c>
      <c r="B135" s="138">
        <f>(B134/B133)*(B132/B131)*(B130/B129)*(B128/B127)*B126</f>
        <v>1000</v>
      </c>
      <c r="C135" s="137"/>
      <c r="D135" s="136"/>
      <c r="E135" s="128" t="s">
        <v>79</v>
      </c>
      <c r="F135" s="135">
        <f>STDEV(F127:F132)/F134</f>
        <v>2.6481301297997264E-3</v>
      </c>
      <c r="I135" s="113"/>
    </row>
    <row r="136" spans="1:10" ht="27" customHeight="1" thickBot="1" x14ac:dyDescent="0.45">
      <c r="A136" s="272" t="s">
        <v>74</v>
      </c>
      <c r="B136" s="273"/>
      <c r="C136" s="134"/>
      <c r="D136" s="133"/>
      <c r="E136" s="132" t="s">
        <v>20</v>
      </c>
      <c r="F136" s="131">
        <f>COUNT(F127:F132)</f>
        <v>6</v>
      </c>
      <c r="I136" s="113"/>
      <c r="J136" s="163"/>
    </row>
    <row r="137" spans="1:10" ht="19.5" customHeight="1" thickBot="1" x14ac:dyDescent="0.35">
      <c r="A137" s="274"/>
      <c r="B137" s="275"/>
      <c r="C137" s="113"/>
      <c r="D137" s="113"/>
      <c r="E137" s="113"/>
      <c r="F137" s="114"/>
      <c r="G137" s="113"/>
      <c r="H137" s="113"/>
      <c r="I137" s="113"/>
    </row>
    <row r="138" spans="1:10" ht="18.75" x14ac:dyDescent="0.3">
      <c r="A138" s="130"/>
      <c r="B138" s="130"/>
      <c r="C138" s="113"/>
      <c r="D138" s="113"/>
      <c r="E138" s="113"/>
      <c r="F138" s="114"/>
      <c r="G138" s="113"/>
      <c r="H138" s="113"/>
      <c r="I138" s="113"/>
    </row>
    <row r="139" spans="1:10" ht="26.25" customHeight="1" x14ac:dyDescent="0.4">
      <c r="A139" s="119" t="s">
        <v>114</v>
      </c>
      <c r="B139" s="128" t="s">
        <v>105</v>
      </c>
      <c r="C139" s="276" t="str">
        <f>B20</f>
        <v>ATAZANAVIR</v>
      </c>
      <c r="D139" s="276"/>
      <c r="E139" s="113" t="s">
        <v>106</v>
      </c>
      <c r="F139" s="113"/>
      <c r="G139" s="129">
        <f>F134</f>
        <v>1.0119812933755894</v>
      </c>
      <c r="H139" s="113"/>
      <c r="I139" s="113"/>
    </row>
    <row r="140" spans="1:10" ht="18.75" x14ac:dyDescent="0.3">
      <c r="A140" s="119"/>
      <c r="B140" s="128"/>
      <c r="C140" s="127"/>
      <c r="D140" s="127"/>
      <c r="E140" s="113"/>
      <c r="F140" s="113"/>
      <c r="G140" s="126"/>
      <c r="H140" s="113"/>
      <c r="I140" s="113"/>
    </row>
    <row r="141" spans="1:10" ht="19.5" customHeight="1" thickBot="1" x14ac:dyDescent="0.35">
      <c r="A141" s="125"/>
      <c r="B141" s="125"/>
      <c r="C141" s="124"/>
      <c r="D141" s="124"/>
      <c r="E141" s="124"/>
      <c r="F141" s="124"/>
      <c r="G141" s="124"/>
      <c r="H141" s="124"/>
    </row>
    <row r="142" spans="1:10" ht="18.75" x14ac:dyDescent="0.3">
      <c r="B142" s="271" t="s">
        <v>26</v>
      </c>
      <c r="C142" s="271"/>
      <c r="E142" s="123" t="s">
        <v>27</v>
      </c>
      <c r="F142" s="122"/>
      <c r="G142" s="271" t="s">
        <v>28</v>
      </c>
      <c r="H142" s="271"/>
    </row>
    <row r="143" spans="1:10" ht="83.1" customHeight="1" x14ac:dyDescent="0.3">
      <c r="A143" s="119" t="s">
        <v>29</v>
      </c>
      <c r="B143" s="121"/>
      <c r="C143" s="121"/>
      <c r="E143" s="120"/>
      <c r="F143" s="113"/>
      <c r="G143" s="120"/>
      <c r="H143" s="120"/>
    </row>
    <row r="144" spans="1:10" ht="83.1" customHeight="1" x14ac:dyDescent="0.3">
      <c r="A144" s="119" t="s">
        <v>30</v>
      </c>
      <c r="B144" s="118"/>
      <c r="C144" s="118"/>
      <c r="E144" s="117"/>
      <c r="F144" s="113"/>
      <c r="G144" s="116"/>
      <c r="H144" s="116"/>
    </row>
    <row r="145" spans="1:9" ht="18.75" x14ac:dyDescent="0.3">
      <c r="A145" s="114"/>
      <c r="B145" s="114"/>
      <c r="C145" s="114"/>
      <c r="D145" s="114"/>
      <c r="E145" s="114"/>
      <c r="F145" s="115"/>
      <c r="G145" s="114"/>
      <c r="H145" s="114"/>
      <c r="I145" s="113"/>
    </row>
    <row r="146" spans="1:9" ht="18.75" x14ac:dyDescent="0.3">
      <c r="A146" s="114"/>
      <c r="B146" s="114"/>
      <c r="C146" s="114"/>
      <c r="D146" s="114"/>
      <c r="E146" s="114"/>
      <c r="F146" s="115"/>
      <c r="G146" s="114"/>
      <c r="H146" s="114"/>
      <c r="I146" s="113"/>
    </row>
    <row r="147" spans="1:9" ht="18.75" x14ac:dyDescent="0.3">
      <c r="A147" s="114"/>
      <c r="B147" s="114"/>
      <c r="C147" s="114"/>
      <c r="D147" s="114"/>
      <c r="E147" s="114"/>
      <c r="F147" s="115"/>
      <c r="G147" s="114"/>
      <c r="H147" s="114"/>
      <c r="I147" s="113"/>
    </row>
    <row r="148" spans="1:9" ht="18.75" x14ac:dyDescent="0.3">
      <c r="A148" s="114"/>
      <c r="B148" s="114"/>
      <c r="C148" s="114"/>
      <c r="D148" s="114"/>
      <c r="E148" s="114"/>
      <c r="F148" s="115"/>
      <c r="G148" s="114"/>
      <c r="H148" s="114"/>
      <c r="I148" s="113"/>
    </row>
    <row r="149" spans="1:9" ht="18.75" x14ac:dyDescent="0.3">
      <c r="A149" s="114"/>
      <c r="B149" s="114"/>
      <c r="C149" s="114"/>
      <c r="D149" s="114"/>
      <c r="E149" s="114"/>
      <c r="F149" s="115"/>
      <c r="G149" s="114"/>
      <c r="H149" s="114"/>
      <c r="I149" s="113"/>
    </row>
    <row r="150" spans="1:9" ht="18.75" x14ac:dyDescent="0.3">
      <c r="A150" s="114"/>
      <c r="B150" s="114"/>
      <c r="C150" s="114"/>
      <c r="D150" s="114"/>
      <c r="E150" s="114"/>
      <c r="F150" s="115"/>
      <c r="G150" s="114"/>
      <c r="H150" s="114"/>
      <c r="I150" s="113"/>
    </row>
    <row r="151" spans="1:9" ht="18.75" x14ac:dyDescent="0.3">
      <c r="A151" s="114"/>
      <c r="B151" s="114"/>
      <c r="C151" s="114"/>
      <c r="D151" s="114"/>
      <c r="E151" s="114"/>
      <c r="F151" s="115"/>
      <c r="G151" s="114"/>
      <c r="H151" s="114"/>
      <c r="I151" s="113"/>
    </row>
    <row r="152" spans="1:9" ht="18.75" x14ac:dyDescent="0.3">
      <c r="A152" s="114"/>
      <c r="B152" s="114"/>
      <c r="C152" s="114"/>
      <c r="D152" s="114"/>
      <c r="E152" s="114"/>
      <c r="F152" s="115"/>
      <c r="G152" s="114"/>
      <c r="H152" s="114"/>
      <c r="I152" s="113"/>
    </row>
    <row r="153" spans="1:9" ht="18.75" x14ac:dyDescent="0.3">
      <c r="A153" s="114"/>
      <c r="B153" s="114"/>
      <c r="C153" s="114"/>
      <c r="D153" s="114"/>
      <c r="E153" s="114"/>
      <c r="F153" s="115"/>
      <c r="G153" s="114"/>
      <c r="H153" s="114"/>
      <c r="I153" s="113"/>
    </row>
    <row r="216" spans="1:1" x14ac:dyDescent="0.25">
      <c r="A216" s="112">
        <v>0</v>
      </c>
    </row>
  </sheetData>
  <sheetProtection formatCells="0" formatColumns="0"/>
  <mergeCells count="30">
    <mergeCell ref="B18:C18"/>
    <mergeCell ref="B21:H21"/>
    <mergeCell ref="A46:B47"/>
    <mergeCell ref="C83:G83"/>
    <mergeCell ref="A70:B71"/>
    <mergeCell ref="C76:D76"/>
    <mergeCell ref="A1:H7"/>
    <mergeCell ref="A8:H14"/>
    <mergeCell ref="A16:H16"/>
    <mergeCell ref="C122:D122"/>
    <mergeCell ref="C139:D139"/>
    <mergeCell ref="C64:C67"/>
    <mergeCell ref="D64:D67"/>
    <mergeCell ref="D60:D63"/>
    <mergeCell ref="D36:E36"/>
    <mergeCell ref="C29:G29"/>
    <mergeCell ref="F36:G36"/>
    <mergeCell ref="C31:H31"/>
    <mergeCell ref="C32:H32"/>
    <mergeCell ref="C60:C63"/>
    <mergeCell ref="C86:H86"/>
    <mergeCell ref="F91:G91"/>
    <mergeCell ref="A101:B102"/>
    <mergeCell ref="A119:B120"/>
    <mergeCell ref="C68:C71"/>
    <mergeCell ref="D68:D71"/>
    <mergeCell ref="C87:H87"/>
    <mergeCell ref="B142:C142"/>
    <mergeCell ref="A136:B137"/>
    <mergeCell ref="G142:H142"/>
  </mergeCells>
  <printOptions horizontalCentered="1" verticalCentered="1"/>
  <pageMargins left="0.7" right="0.7" top="0.75" bottom="0.75" header="0.3" footer="0.3"/>
  <pageSetup paperSize="9" scale="23" orientation="portrait" horizontalDpi="4294967295" verticalDpi="4294967295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B41" sqref="B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6" t="s">
        <v>0</v>
      </c>
      <c r="B15" s="306"/>
      <c r="C15" s="306"/>
      <c r="D15" s="306"/>
      <c r="E15" s="30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107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13.65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B20/20*4/50</f>
        <v>5.4600000000000003E-2</v>
      </c>
      <c r="C21" s="10"/>
      <c r="D21" s="10"/>
      <c r="E21" s="10"/>
    </row>
    <row r="22" spans="1:6" ht="15.75" customHeight="1" thickBot="1" x14ac:dyDescent="0.3">
      <c r="A22" s="10"/>
      <c r="B22" s="10" t="s">
        <v>12</v>
      </c>
      <c r="C22" s="10"/>
      <c r="D22" s="10"/>
      <c r="E22" s="10"/>
    </row>
    <row r="23" spans="1:6" ht="16.5" customHeight="1" thickBot="1" x14ac:dyDescent="0.35">
      <c r="A23" s="14" t="s">
        <v>13</v>
      </c>
      <c r="B23" s="15" t="s">
        <v>14</v>
      </c>
      <c r="C23" s="14" t="s">
        <v>15</v>
      </c>
      <c r="D23" s="14" t="s">
        <v>16</v>
      </c>
      <c r="E23" s="15" t="s">
        <v>17</v>
      </c>
      <c r="F23" s="100" t="s">
        <v>110</v>
      </c>
    </row>
    <row r="24" spans="1:6" ht="16.5" customHeight="1" x14ac:dyDescent="0.3">
      <c r="A24" s="17">
        <v>1</v>
      </c>
      <c r="B24" s="18">
        <v>1583304</v>
      </c>
      <c r="C24" s="18">
        <v>7588</v>
      </c>
      <c r="D24" s="19">
        <v>1</v>
      </c>
      <c r="E24" s="101">
        <v>6.6</v>
      </c>
      <c r="F24" s="109">
        <v>3.59</v>
      </c>
    </row>
    <row r="25" spans="1:6" ht="16.5" customHeight="1" x14ac:dyDescent="0.3">
      <c r="A25" s="17">
        <v>2</v>
      </c>
      <c r="B25" s="18">
        <v>1583921</v>
      </c>
      <c r="C25" s="18">
        <v>7576</v>
      </c>
      <c r="D25" s="19">
        <v>1</v>
      </c>
      <c r="E25" s="102">
        <v>6.6</v>
      </c>
      <c r="F25" s="110">
        <v>3.59</v>
      </c>
    </row>
    <row r="26" spans="1:6" ht="16.5" customHeight="1" x14ac:dyDescent="0.3">
      <c r="A26" s="17">
        <v>3</v>
      </c>
      <c r="B26" s="18">
        <v>1585283</v>
      </c>
      <c r="C26" s="18">
        <v>7581</v>
      </c>
      <c r="D26" s="19">
        <v>1.02</v>
      </c>
      <c r="E26" s="102">
        <v>6.61</v>
      </c>
      <c r="F26" s="110">
        <v>3.59</v>
      </c>
    </row>
    <row r="27" spans="1:6" ht="16.5" customHeight="1" x14ac:dyDescent="0.3">
      <c r="A27" s="17">
        <v>4</v>
      </c>
      <c r="B27" s="18">
        <v>1586482</v>
      </c>
      <c r="C27" s="18">
        <v>7587</v>
      </c>
      <c r="D27" s="19">
        <v>1.01</v>
      </c>
      <c r="E27" s="102">
        <v>6.61</v>
      </c>
      <c r="F27" s="110">
        <v>3.59</v>
      </c>
    </row>
    <row r="28" spans="1:6" ht="16.5" customHeight="1" x14ac:dyDescent="0.3">
      <c r="A28" s="17">
        <v>5</v>
      </c>
      <c r="B28" s="18">
        <v>1587618</v>
      </c>
      <c r="C28" s="18">
        <v>7612</v>
      </c>
      <c r="D28" s="19">
        <v>1.01</v>
      </c>
      <c r="E28" s="102">
        <v>6.61</v>
      </c>
      <c r="F28" s="110">
        <v>3.59</v>
      </c>
    </row>
    <row r="29" spans="1:6" ht="16.5" customHeight="1" x14ac:dyDescent="0.3">
      <c r="A29" s="17">
        <v>6</v>
      </c>
      <c r="B29" s="21">
        <v>1587043</v>
      </c>
      <c r="C29" s="21">
        <v>7583</v>
      </c>
      <c r="D29" s="22">
        <v>0.99</v>
      </c>
      <c r="E29" s="103">
        <v>6.62</v>
      </c>
      <c r="F29" s="110">
        <v>3.58</v>
      </c>
    </row>
    <row r="30" spans="1:6" ht="16.5" customHeight="1" x14ac:dyDescent="0.3">
      <c r="A30" s="23" t="s">
        <v>18</v>
      </c>
      <c r="B30" s="24">
        <f>AVERAGE(B24:B29)</f>
        <v>1585608.5</v>
      </c>
      <c r="C30" s="25">
        <f>AVERAGE(C24:C29)</f>
        <v>7587.833333333333</v>
      </c>
      <c r="D30" s="26">
        <f>AVERAGE(D24:D29)</f>
        <v>1.0050000000000001</v>
      </c>
      <c r="E30" s="104">
        <f>AVERAGE(E24:E29)</f>
        <v>6.6083333333333334</v>
      </c>
      <c r="F30" s="104">
        <f>AVERAGE(F24:F29)</f>
        <v>3.5883333333333334</v>
      </c>
    </row>
    <row r="31" spans="1:6" ht="16.5" customHeight="1" x14ac:dyDescent="0.3">
      <c r="A31" s="27" t="s">
        <v>19</v>
      </c>
      <c r="B31" s="28">
        <f>(STDEV(B24:B29)/B30)</f>
        <v>1.0968342838310304E-3</v>
      </c>
      <c r="C31" s="29"/>
      <c r="D31" s="29"/>
      <c r="E31" s="105"/>
      <c r="F31" s="106"/>
    </row>
    <row r="32" spans="1:6" s="2" customFormat="1" ht="16.5" customHeight="1" thickBot="1" x14ac:dyDescent="0.35">
      <c r="A32" s="31" t="s">
        <v>20</v>
      </c>
      <c r="B32" s="32">
        <f>COUNT(B24:B29)</f>
        <v>6</v>
      </c>
      <c r="C32" s="33"/>
      <c r="D32" s="34"/>
      <c r="E32" s="73"/>
      <c r="F32" s="107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8" t="s">
        <v>111</v>
      </c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107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98.8</v>
      </c>
      <c r="C40" s="10"/>
      <c r="D40" s="10"/>
      <c r="E40" s="10"/>
    </row>
    <row r="41" spans="1:6" ht="16.5" customHeight="1" x14ac:dyDescent="0.3">
      <c r="A41" s="7" t="s">
        <v>8</v>
      </c>
      <c r="B41" s="12">
        <v>10.74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</f>
        <v>0.1074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1449213</v>
      </c>
      <c r="C45" s="18">
        <v>4928</v>
      </c>
      <c r="D45" s="19">
        <v>1.1100000000000001</v>
      </c>
      <c r="E45" s="20">
        <v>6.08</v>
      </c>
    </row>
    <row r="46" spans="1:6" ht="16.5" customHeight="1" x14ac:dyDescent="0.3">
      <c r="A46" s="17">
        <v>2</v>
      </c>
      <c r="B46" s="18">
        <v>1449726</v>
      </c>
      <c r="C46" s="18">
        <v>4959</v>
      </c>
      <c r="D46" s="19">
        <v>1.0900000000000001</v>
      </c>
      <c r="E46" s="19">
        <v>6.09</v>
      </c>
    </row>
    <row r="47" spans="1:6" ht="16.5" customHeight="1" x14ac:dyDescent="0.3">
      <c r="A47" s="17">
        <v>3</v>
      </c>
      <c r="B47" s="18">
        <v>1451375</v>
      </c>
      <c r="C47" s="18">
        <v>4968</v>
      </c>
      <c r="D47" s="19">
        <v>1.1100000000000001</v>
      </c>
      <c r="E47" s="19">
        <v>6.09</v>
      </c>
    </row>
    <row r="48" spans="1:6" ht="16.5" customHeight="1" x14ac:dyDescent="0.3">
      <c r="A48" s="17">
        <v>4</v>
      </c>
      <c r="B48" s="18">
        <v>1451823</v>
      </c>
      <c r="C48" s="18">
        <v>4983</v>
      </c>
      <c r="D48" s="19">
        <v>1.1100000000000001</v>
      </c>
      <c r="E48" s="19">
        <v>6.09</v>
      </c>
    </row>
    <row r="49" spans="1:7" ht="16.5" customHeight="1" x14ac:dyDescent="0.3">
      <c r="A49" s="17">
        <v>5</v>
      </c>
      <c r="B49" s="18">
        <v>1450159</v>
      </c>
      <c r="C49" s="18">
        <v>5003</v>
      </c>
      <c r="D49" s="19">
        <v>1.08</v>
      </c>
      <c r="E49" s="19">
        <v>6.09</v>
      </c>
    </row>
    <row r="50" spans="1:7" ht="16.5" customHeight="1" x14ac:dyDescent="0.3">
      <c r="A50" s="17">
        <v>6</v>
      </c>
      <c r="B50" s="21">
        <v>1448856</v>
      </c>
      <c r="C50" s="21">
        <v>5022</v>
      </c>
      <c r="D50" s="22">
        <v>1.0900000000000001</v>
      </c>
      <c r="E50" s="22">
        <v>6.09</v>
      </c>
    </row>
    <row r="51" spans="1:7" ht="16.5" customHeight="1" x14ac:dyDescent="0.3">
      <c r="A51" s="23" t="s">
        <v>18</v>
      </c>
      <c r="B51" s="24">
        <f>AVERAGE(B45:B50)</f>
        <v>1450192</v>
      </c>
      <c r="C51" s="25">
        <f>AVERAGE(C45:C50)</f>
        <v>4977.166666666667</v>
      </c>
      <c r="D51" s="26">
        <f>AVERAGE(D45:D50)</f>
        <v>1.0983333333333334</v>
      </c>
      <c r="E51" s="26">
        <f>AVERAGE(E45:E50)</f>
        <v>6.0883333333333338</v>
      </c>
    </row>
    <row r="52" spans="1:7" ht="16.5" customHeight="1" x14ac:dyDescent="0.3">
      <c r="A52" s="27" t="s">
        <v>19</v>
      </c>
      <c r="B52" s="28">
        <f>(STDEV(B45:B50)/B51)</f>
        <v>8.171394060244874E-4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7" t="s">
        <v>26</v>
      </c>
      <c r="C59" s="30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5" workbookViewId="0">
      <selection activeCell="A11" sqref="A11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11" t="s">
        <v>31</v>
      </c>
      <c r="B11" s="312"/>
      <c r="C11" s="312"/>
      <c r="D11" s="312"/>
      <c r="E11" s="312"/>
      <c r="F11" s="313"/>
      <c r="G11" s="91"/>
    </row>
    <row r="12" spans="1:7" ht="16.5" customHeight="1" x14ac:dyDescent="0.3">
      <c r="A12" s="310" t="s">
        <v>32</v>
      </c>
      <c r="B12" s="310"/>
      <c r="C12" s="310"/>
      <c r="D12" s="310"/>
      <c r="E12" s="310"/>
      <c r="F12" s="310"/>
      <c r="G12" s="90"/>
    </row>
    <row r="14" spans="1:7" ht="16.5" customHeight="1" x14ac:dyDescent="0.3">
      <c r="A14" s="315" t="s">
        <v>33</v>
      </c>
      <c r="B14" s="315"/>
      <c r="C14" s="60" t="s">
        <v>5</v>
      </c>
    </row>
    <row r="15" spans="1:7" ht="16.5" customHeight="1" x14ac:dyDescent="0.3">
      <c r="A15" s="315" t="s">
        <v>34</v>
      </c>
      <c r="B15" s="315"/>
      <c r="C15" s="60" t="s">
        <v>7</v>
      </c>
    </row>
    <row r="16" spans="1:7" ht="16.5" customHeight="1" x14ac:dyDescent="0.3">
      <c r="A16" s="315" t="s">
        <v>35</v>
      </c>
      <c r="B16" s="315"/>
      <c r="C16" s="60" t="s">
        <v>9</v>
      </c>
    </row>
    <row r="17" spans="1:5" ht="16.5" customHeight="1" x14ac:dyDescent="0.3">
      <c r="A17" s="315" t="s">
        <v>36</v>
      </c>
      <c r="B17" s="315"/>
      <c r="C17" s="60" t="s">
        <v>11</v>
      </c>
    </row>
    <row r="18" spans="1:5" ht="16.5" customHeight="1" x14ac:dyDescent="0.3">
      <c r="A18" s="315" t="s">
        <v>37</v>
      </c>
      <c r="B18" s="315"/>
      <c r="C18" s="97" t="s">
        <v>12</v>
      </c>
    </row>
    <row r="19" spans="1:5" ht="16.5" customHeight="1" x14ac:dyDescent="0.3">
      <c r="A19" s="315" t="s">
        <v>38</v>
      </c>
      <c r="B19" s="31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310" t="s">
        <v>1</v>
      </c>
      <c r="B21" s="310"/>
      <c r="C21" s="59" t="s">
        <v>39</v>
      </c>
      <c r="D21" s="66"/>
    </row>
    <row r="22" spans="1:5" ht="15.75" customHeight="1" x14ac:dyDescent="0.3">
      <c r="A22" s="314"/>
      <c r="B22" s="314"/>
      <c r="C22" s="57"/>
      <c r="D22" s="314"/>
      <c r="E22" s="31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1957.14</v>
      </c>
      <c r="D24" s="87">
        <f t="shared" ref="D24:D43" si="0">(C24-$C$46)/$C$46</f>
        <v>-8.6793864382149755E-3</v>
      </c>
      <c r="E24" s="53"/>
    </row>
    <row r="25" spans="1:5" ht="15.75" customHeight="1" x14ac:dyDescent="0.3">
      <c r="C25" s="95">
        <v>1954.74</v>
      </c>
      <c r="D25" s="88">
        <f t="shared" si="0"/>
        <v>-9.8950222499343092E-3</v>
      </c>
      <c r="E25" s="53"/>
    </row>
    <row r="26" spans="1:5" ht="15.75" customHeight="1" x14ac:dyDescent="0.3">
      <c r="C26" s="95">
        <v>1950.16</v>
      </c>
      <c r="D26" s="88">
        <f t="shared" si="0"/>
        <v>-1.2214860590631909E-2</v>
      </c>
      <c r="E26" s="53"/>
    </row>
    <row r="27" spans="1:5" ht="15.75" customHeight="1" x14ac:dyDescent="0.3">
      <c r="C27" s="95">
        <v>1957.93</v>
      </c>
      <c r="D27" s="88">
        <f t="shared" si="0"/>
        <v>-8.2792396501907301E-3</v>
      </c>
      <c r="E27" s="53"/>
    </row>
    <row r="28" spans="1:5" ht="15.75" customHeight="1" x14ac:dyDescent="0.3">
      <c r="C28" s="95">
        <v>2003.48</v>
      </c>
      <c r="D28" s="88">
        <f t="shared" si="0"/>
        <v>1.4792515026398202E-2</v>
      </c>
      <c r="E28" s="53"/>
    </row>
    <row r="29" spans="1:5" ht="15.75" customHeight="1" x14ac:dyDescent="0.3">
      <c r="C29" s="95">
        <v>1974.77</v>
      </c>
      <c r="D29" s="88">
        <f t="shared" si="0"/>
        <v>2.5047162870622108E-4</v>
      </c>
      <c r="E29" s="53"/>
    </row>
    <row r="30" spans="1:5" ht="15.75" customHeight="1" x14ac:dyDescent="0.3">
      <c r="C30" s="95">
        <v>1959.58</v>
      </c>
      <c r="D30" s="88">
        <f t="shared" si="0"/>
        <v>-7.443490029633789E-3</v>
      </c>
      <c r="E30" s="53"/>
    </row>
    <row r="31" spans="1:5" ht="15.75" customHeight="1" x14ac:dyDescent="0.3">
      <c r="C31" s="95">
        <v>1986.57</v>
      </c>
      <c r="D31" s="88">
        <f t="shared" si="0"/>
        <v>6.2273477029926886E-3</v>
      </c>
      <c r="E31" s="53"/>
    </row>
    <row r="32" spans="1:5" ht="15.75" customHeight="1" x14ac:dyDescent="0.3">
      <c r="C32" s="95">
        <v>1956.13</v>
      </c>
      <c r="D32" s="88">
        <f t="shared" si="0"/>
        <v>-9.1909665089801706E-3</v>
      </c>
      <c r="E32" s="53"/>
    </row>
    <row r="33" spans="1:7" ht="15.75" customHeight="1" x14ac:dyDescent="0.3">
      <c r="C33" s="95">
        <v>1975.37</v>
      </c>
      <c r="D33" s="88">
        <f t="shared" si="0"/>
        <v>5.5438058163599657E-4</v>
      </c>
      <c r="E33" s="53"/>
    </row>
    <row r="34" spans="1:7" ht="15.75" customHeight="1" x14ac:dyDescent="0.3">
      <c r="C34" s="95">
        <v>1970.17</v>
      </c>
      <c r="D34" s="88">
        <f t="shared" si="0"/>
        <v>-2.0794970104223648E-3</v>
      </c>
      <c r="E34" s="53"/>
    </row>
    <row r="35" spans="1:7" ht="15.75" customHeight="1" x14ac:dyDescent="0.3">
      <c r="C35" s="95">
        <v>1967.39</v>
      </c>
      <c r="D35" s="88">
        <f t="shared" si="0"/>
        <v>-3.4876084923305241E-3</v>
      </c>
      <c r="E35" s="53"/>
    </row>
    <row r="36" spans="1:7" ht="15.75" customHeight="1" x14ac:dyDescent="0.3">
      <c r="C36" s="95">
        <v>1990.79</v>
      </c>
      <c r="D36" s="88">
        <f t="shared" si="0"/>
        <v>8.3648406719324473E-3</v>
      </c>
      <c r="E36" s="53"/>
    </row>
    <row r="37" spans="1:7" ht="15.75" customHeight="1" x14ac:dyDescent="0.3">
      <c r="C37" s="95">
        <v>1958.55</v>
      </c>
      <c r="D37" s="88">
        <f t="shared" si="0"/>
        <v>-7.9652003988299695E-3</v>
      </c>
      <c r="E37" s="53"/>
    </row>
    <row r="38" spans="1:7" ht="15.75" customHeight="1" x14ac:dyDescent="0.3">
      <c r="C38" s="95">
        <v>1965.54</v>
      </c>
      <c r="D38" s="88">
        <f t="shared" si="0"/>
        <v>-4.4246610971975433E-3</v>
      </c>
      <c r="E38" s="53"/>
    </row>
    <row r="39" spans="1:7" ht="15.75" customHeight="1" x14ac:dyDescent="0.3">
      <c r="C39" s="95">
        <v>2001.8</v>
      </c>
      <c r="D39" s="88">
        <f t="shared" si="0"/>
        <v>1.3941569958194669E-2</v>
      </c>
      <c r="E39" s="53"/>
    </row>
    <row r="40" spans="1:7" ht="15.75" customHeight="1" x14ac:dyDescent="0.3">
      <c r="C40" s="95">
        <v>1973.6</v>
      </c>
      <c r="D40" s="88">
        <f t="shared" si="0"/>
        <v>-3.4215082950696783E-4</v>
      </c>
      <c r="E40" s="53"/>
    </row>
    <row r="41" spans="1:7" ht="15.75" customHeight="1" x14ac:dyDescent="0.3">
      <c r="C41" s="95">
        <v>1973.7</v>
      </c>
      <c r="D41" s="88">
        <f t="shared" si="0"/>
        <v>-2.9149933735192848E-4</v>
      </c>
      <c r="E41" s="53"/>
    </row>
    <row r="42" spans="1:7" ht="15.75" customHeight="1" x14ac:dyDescent="0.3">
      <c r="C42" s="95">
        <v>2008.8</v>
      </c>
      <c r="D42" s="88">
        <f t="shared" si="0"/>
        <v>1.7487174409042586E-2</v>
      </c>
      <c r="E42" s="53"/>
    </row>
    <row r="43" spans="1:7" ht="16.5" customHeight="1" x14ac:dyDescent="0.3">
      <c r="C43" s="96">
        <v>1999.3</v>
      </c>
      <c r="D43" s="89">
        <f t="shared" si="0"/>
        <v>1.2675282654320412E-2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39485.51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1974.2755000000002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308">
        <f>C46</f>
        <v>1974.2755000000002</v>
      </c>
      <c r="C49" s="93">
        <f>-IF(C46&lt;=80,10%,IF(C46&lt;250,7.5%,5%))</f>
        <v>-0.05</v>
      </c>
      <c r="D49" s="81">
        <f>IF(C46&lt;=80,C46*0.9,IF(C46&lt;250,C46*0.925,C46*0.95))</f>
        <v>1875.561725</v>
      </c>
    </row>
    <row r="50" spans="1:6" ht="17.25" customHeight="1" x14ac:dyDescent="0.3">
      <c r="B50" s="309"/>
      <c r="C50" s="94">
        <f>IF(C46&lt;=80, 10%, IF(C46&lt;250, 7.5%, 5%))</f>
        <v>0.05</v>
      </c>
      <c r="D50" s="81">
        <f>IF(C46&lt;=80, C46*1.1, IF(C46&lt;250, C46*1.075, C46*1.05))</f>
        <v>2072.9892750000004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B20" sqref="B20"/>
    </sheetView>
  </sheetViews>
  <sheetFormatPr defaultRowHeight="13.5" x14ac:dyDescent="0.25"/>
  <cols>
    <col min="1" max="1" width="27.5703125" style="99" customWidth="1"/>
    <col min="2" max="2" width="20.42578125" style="99" customWidth="1"/>
    <col min="3" max="3" width="31.85546875" style="99" customWidth="1"/>
    <col min="4" max="4" width="25.85546875" style="99" customWidth="1"/>
    <col min="5" max="5" width="25.7109375" style="99" customWidth="1"/>
    <col min="6" max="6" width="23.140625" style="99" customWidth="1"/>
    <col min="7" max="7" width="28.42578125" style="99" customWidth="1"/>
    <col min="8" max="8" width="21.5703125" style="99" customWidth="1"/>
    <col min="9" max="9" width="9.140625" style="9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06" t="s">
        <v>0</v>
      </c>
      <c r="B15" s="306"/>
      <c r="C15" s="306"/>
      <c r="D15" s="306"/>
      <c r="E15" s="30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99" t="s">
        <v>108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99.6</v>
      </c>
      <c r="C19" s="72"/>
      <c r="D19" s="72"/>
      <c r="E19" s="72"/>
    </row>
    <row r="20" spans="1:5" ht="16.5" customHeight="1" x14ac:dyDescent="0.3">
      <c r="A20" s="8" t="s">
        <v>8</v>
      </c>
      <c r="B20" s="12">
        <v>10.87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B20/10*4/25</f>
        <v>0.17391999999999999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1331127</v>
      </c>
      <c r="C24" s="18">
        <v>7301</v>
      </c>
      <c r="D24" s="19">
        <v>1</v>
      </c>
      <c r="E24" s="20">
        <v>5.59</v>
      </c>
    </row>
    <row r="25" spans="1:5" ht="16.5" customHeight="1" x14ac:dyDescent="0.3">
      <c r="A25" s="17">
        <v>2</v>
      </c>
      <c r="B25" s="18">
        <v>1330846</v>
      </c>
      <c r="C25" s="18">
        <v>7289</v>
      </c>
      <c r="D25" s="19">
        <v>1.01</v>
      </c>
      <c r="E25" s="19">
        <v>5.59</v>
      </c>
    </row>
    <row r="26" spans="1:5" ht="16.5" customHeight="1" x14ac:dyDescent="0.3">
      <c r="A26" s="17">
        <v>3</v>
      </c>
      <c r="B26" s="18">
        <v>1329122</v>
      </c>
      <c r="C26" s="18">
        <v>7333</v>
      </c>
      <c r="D26" s="19">
        <v>1.03</v>
      </c>
      <c r="E26" s="19">
        <v>5.59</v>
      </c>
    </row>
    <row r="27" spans="1:5" ht="16.5" customHeight="1" x14ac:dyDescent="0.3">
      <c r="A27" s="17">
        <v>4</v>
      </c>
      <c r="B27" s="18">
        <v>1329628</v>
      </c>
      <c r="C27" s="18">
        <v>7342</v>
      </c>
      <c r="D27" s="19">
        <v>1.02</v>
      </c>
      <c r="E27" s="19">
        <v>5.59</v>
      </c>
    </row>
    <row r="28" spans="1:5" ht="16.5" customHeight="1" x14ac:dyDescent="0.3">
      <c r="A28" s="17">
        <v>5</v>
      </c>
      <c r="B28" s="18">
        <v>1330131</v>
      </c>
      <c r="C28" s="18">
        <v>7359</v>
      </c>
      <c r="D28" s="19">
        <v>1.02</v>
      </c>
      <c r="E28" s="19">
        <v>5.6</v>
      </c>
    </row>
    <row r="29" spans="1:5" ht="16.5" customHeight="1" x14ac:dyDescent="0.3">
      <c r="A29" s="17">
        <v>6</v>
      </c>
      <c r="B29" s="21">
        <v>1329673</v>
      </c>
      <c r="C29" s="21">
        <v>7352</v>
      </c>
      <c r="D29" s="22">
        <v>1</v>
      </c>
      <c r="E29" s="22">
        <v>5.61</v>
      </c>
    </row>
    <row r="30" spans="1:5" ht="16.5" customHeight="1" x14ac:dyDescent="0.3">
      <c r="A30" s="23" t="s">
        <v>18</v>
      </c>
      <c r="B30" s="24">
        <f>AVERAGE(B24:B29)</f>
        <v>1330087.8333333333</v>
      </c>
      <c r="C30" s="25">
        <f>AVERAGE(C24:C29)</f>
        <v>7329.333333333333</v>
      </c>
      <c r="D30" s="26">
        <f>AVERAGE(D24:D29)</f>
        <v>1.0133333333333334</v>
      </c>
      <c r="E30" s="26">
        <f>AVERAGE(E24:E29)</f>
        <v>5.5949999999999998</v>
      </c>
    </row>
    <row r="31" spans="1:5" ht="16.5" customHeight="1" x14ac:dyDescent="0.3">
      <c r="A31" s="27" t="s">
        <v>19</v>
      </c>
      <c r="B31" s="28">
        <f>(STDEV(B24:B29)/B30)</f>
        <v>5.7973018154109301E-4</v>
      </c>
      <c r="C31" s="29"/>
      <c r="D31" s="29"/>
      <c r="E31" s="30"/>
    </row>
    <row r="32" spans="1:5" s="99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99" customFormat="1" ht="15.75" customHeight="1" x14ac:dyDescent="0.25">
      <c r="A33" s="72"/>
      <c r="B33" s="72"/>
      <c r="C33" s="72"/>
      <c r="D33" s="72"/>
      <c r="E33" s="72"/>
    </row>
    <row r="34" spans="1:5" s="99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5</v>
      </c>
      <c r="C39" s="72"/>
      <c r="D39" s="72"/>
      <c r="E39" s="72"/>
    </row>
    <row r="40" spans="1:5" ht="16.5" customHeight="1" x14ac:dyDescent="0.3">
      <c r="A40" s="75" t="s">
        <v>6</v>
      </c>
      <c r="B40" s="12">
        <v>98.78</v>
      </c>
      <c r="C40" s="72"/>
      <c r="D40" s="72"/>
      <c r="E40" s="72"/>
    </row>
    <row r="41" spans="1:5" ht="16.5" customHeight="1" x14ac:dyDescent="0.3">
      <c r="A41" s="8" t="s">
        <v>8</v>
      </c>
      <c r="B41" s="12">
        <v>15.24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B41/50</f>
        <v>0.30480000000000002</v>
      </c>
      <c r="C42" s="72"/>
      <c r="D42" s="72"/>
      <c r="E42" s="72"/>
    </row>
    <row r="43" spans="1:5" ht="15.75" customHeight="1" x14ac:dyDescent="0.25">
      <c r="A43" s="72"/>
      <c r="B43" s="72">
        <v>0.17391999999999999</v>
      </c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1185778</v>
      </c>
      <c r="C45" s="18">
        <v>4980</v>
      </c>
      <c r="D45" s="19">
        <v>1.1000000000000001</v>
      </c>
      <c r="E45" s="20">
        <v>5.29</v>
      </c>
    </row>
    <row r="46" spans="1:5" ht="16.5" customHeight="1" x14ac:dyDescent="0.3">
      <c r="A46" s="17">
        <v>2</v>
      </c>
      <c r="B46" s="18">
        <v>1183725</v>
      </c>
      <c r="C46" s="18">
        <v>4996</v>
      </c>
      <c r="D46" s="19">
        <v>1.0900000000000001</v>
      </c>
      <c r="E46" s="19">
        <v>5.29</v>
      </c>
    </row>
    <row r="47" spans="1:5" ht="16.5" customHeight="1" x14ac:dyDescent="0.3">
      <c r="A47" s="17">
        <v>3</v>
      </c>
      <c r="B47" s="18">
        <v>1184618</v>
      </c>
      <c r="C47" s="18">
        <v>4995</v>
      </c>
      <c r="D47" s="19">
        <v>1.1200000000000001</v>
      </c>
      <c r="E47" s="19">
        <v>5.29</v>
      </c>
    </row>
    <row r="48" spans="1:5" ht="16.5" customHeight="1" x14ac:dyDescent="0.3">
      <c r="A48" s="17">
        <v>4</v>
      </c>
      <c r="B48" s="18">
        <v>1184563</v>
      </c>
      <c r="C48" s="18">
        <v>5004</v>
      </c>
      <c r="D48" s="19">
        <v>1.1100000000000001</v>
      </c>
      <c r="E48" s="19">
        <v>5.29</v>
      </c>
    </row>
    <row r="49" spans="1:7" ht="16.5" customHeight="1" x14ac:dyDescent="0.3">
      <c r="A49" s="17">
        <v>5</v>
      </c>
      <c r="B49" s="18">
        <v>1183524</v>
      </c>
      <c r="C49" s="18">
        <v>5022</v>
      </c>
      <c r="D49" s="19">
        <v>1.1000000000000001</v>
      </c>
      <c r="E49" s="19">
        <v>5.3</v>
      </c>
    </row>
    <row r="50" spans="1:7" ht="16.5" customHeight="1" x14ac:dyDescent="0.3">
      <c r="A50" s="17">
        <v>6</v>
      </c>
      <c r="B50" s="21">
        <v>1183193</v>
      </c>
      <c r="C50" s="21">
        <v>5036</v>
      </c>
      <c r="D50" s="22">
        <v>1.0900000000000001</v>
      </c>
      <c r="E50" s="22">
        <v>5.3</v>
      </c>
    </row>
    <row r="51" spans="1:7" ht="16.5" customHeight="1" x14ac:dyDescent="0.3">
      <c r="A51" s="23" t="s">
        <v>18</v>
      </c>
      <c r="B51" s="24">
        <f>AVERAGE(B45:B50)</f>
        <v>1184233.5</v>
      </c>
      <c r="C51" s="25">
        <f>AVERAGE(C45:C50)</f>
        <v>5005.5</v>
      </c>
      <c r="D51" s="26">
        <f>AVERAGE(D45:D50)</f>
        <v>1.1016666666666668</v>
      </c>
      <c r="E51" s="26">
        <f>AVERAGE(E45:E50)</f>
        <v>5.2933333333333339</v>
      </c>
    </row>
    <row r="52" spans="1:7" ht="16.5" customHeight="1" x14ac:dyDescent="0.3">
      <c r="A52" s="27" t="s">
        <v>19</v>
      </c>
      <c r="B52" s="28">
        <f>(STDEV(B45:B50)/B51)</f>
        <v>7.9989167511335384E-4</v>
      </c>
      <c r="C52" s="29"/>
      <c r="D52" s="29"/>
      <c r="E52" s="30"/>
    </row>
    <row r="53" spans="1:7" s="99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99" customFormat="1" ht="15.75" customHeight="1" x14ac:dyDescent="0.25">
      <c r="A54" s="72"/>
      <c r="B54" s="72"/>
      <c r="C54" s="72"/>
      <c r="D54" s="72"/>
      <c r="E54" s="72"/>
    </row>
    <row r="55" spans="1:7" s="99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98"/>
      <c r="D58" s="43"/>
      <c r="F58" s="44"/>
      <c r="G58" s="44"/>
    </row>
    <row r="59" spans="1:7" ht="15" customHeight="1" x14ac:dyDescent="0.3">
      <c r="B59" s="307" t="s">
        <v>26</v>
      </c>
      <c r="C59" s="30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5"/>
  <sheetViews>
    <sheetView view="pageBreakPreview" topLeftCell="A100" zoomScale="55" zoomScaleNormal="75" workbookViewId="0">
      <selection activeCell="C149" sqref="C149"/>
    </sheetView>
  </sheetViews>
  <sheetFormatPr defaultRowHeight="13.5" x14ac:dyDescent="0.25"/>
  <cols>
    <col min="1" max="1" width="55.42578125" style="112" customWidth="1"/>
    <col min="2" max="2" width="33.7109375" style="112" customWidth="1"/>
    <col min="3" max="3" width="42.28515625" style="112" customWidth="1"/>
    <col min="4" max="4" width="30.5703125" style="112" customWidth="1"/>
    <col min="5" max="5" width="39.85546875" style="112" customWidth="1"/>
    <col min="6" max="6" width="30.7109375" style="112" customWidth="1"/>
    <col min="7" max="7" width="39.85546875" style="112" customWidth="1"/>
    <col min="8" max="8" width="41.140625" style="112" customWidth="1"/>
    <col min="9" max="9" width="30.28515625" style="112" customWidth="1"/>
    <col min="10" max="10" width="30.42578125" style="112" customWidth="1"/>
    <col min="11" max="11" width="21.28515625" style="112" customWidth="1"/>
    <col min="12" max="12" width="9.140625" style="112" customWidth="1"/>
    <col min="13" max="16384" width="9.140625" style="111"/>
  </cols>
  <sheetData>
    <row r="1" spans="1:8" x14ac:dyDescent="0.25">
      <c r="A1" s="287" t="s">
        <v>45</v>
      </c>
      <c r="B1" s="287"/>
      <c r="C1" s="287"/>
      <c r="D1" s="287"/>
      <c r="E1" s="287"/>
      <c r="F1" s="287"/>
      <c r="G1" s="287"/>
      <c r="H1" s="287"/>
    </row>
    <row r="2" spans="1:8" x14ac:dyDescent="0.25">
      <c r="A2" s="287"/>
      <c r="B2" s="287"/>
      <c r="C2" s="287"/>
      <c r="D2" s="287"/>
      <c r="E2" s="287"/>
      <c r="F2" s="287"/>
      <c r="G2" s="287"/>
      <c r="H2" s="287"/>
    </row>
    <row r="3" spans="1:8" x14ac:dyDescent="0.25">
      <c r="A3" s="287"/>
      <c r="B3" s="287"/>
      <c r="C3" s="287"/>
      <c r="D3" s="287"/>
      <c r="E3" s="287"/>
      <c r="F3" s="287"/>
      <c r="G3" s="287"/>
      <c r="H3" s="287"/>
    </row>
    <row r="4" spans="1:8" x14ac:dyDescent="0.25">
      <c r="A4" s="287"/>
      <c r="B4" s="287"/>
      <c r="C4" s="287"/>
      <c r="D4" s="287"/>
      <c r="E4" s="287"/>
      <c r="F4" s="287"/>
      <c r="G4" s="287"/>
      <c r="H4" s="287"/>
    </row>
    <row r="5" spans="1:8" x14ac:dyDescent="0.25">
      <c r="A5" s="287"/>
      <c r="B5" s="287"/>
      <c r="C5" s="287"/>
      <c r="D5" s="287"/>
      <c r="E5" s="287"/>
      <c r="F5" s="287"/>
      <c r="G5" s="287"/>
      <c r="H5" s="287"/>
    </row>
    <row r="6" spans="1:8" x14ac:dyDescent="0.25">
      <c r="A6" s="287"/>
      <c r="B6" s="287"/>
      <c r="C6" s="287"/>
      <c r="D6" s="287"/>
      <c r="E6" s="287"/>
      <c r="F6" s="287"/>
      <c r="G6" s="287"/>
      <c r="H6" s="287"/>
    </row>
    <row r="7" spans="1:8" x14ac:dyDescent="0.25">
      <c r="A7" s="287"/>
      <c r="B7" s="287"/>
      <c r="C7" s="287"/>
      <c r="D7" s="287"/>
      <c r="E7" s="287"/>
      <c r="F7" s="287"/>
      <c r="G7" s="287"/>
      <c r="H7" s="287"/>
    </row>
    <row r="8" spans="1:8" x14ac:dyDescent="0.25">
      <c r="A8" s="288" t="s">
        <v>46</v>
      </c>
      <c r="B8" s="288"/>
      <c r="C8" s="288"/>
      <c r="D8" s="288"/>
      <c r="E8" s="288"/>
      <c r="F8" s="288"/>
      <c r="G8" s="288"/>
      <c r="H8" s="288"/>
    </row>
    <row r="9" spans="1:8" x14ac:dyDescent="0.25">
      <c r="A9" s="288"/>
      <c r="B9" s="288"/>
      <c r="C9" s="288"/>
      <c r="D9" s="288"/>
      <c r="E9" s="288"/>
      <c r="F9" s="288"/>
      <c r="G9" s="288"/>
      <c r="H9" s="288"/>
    </row>
    <row r="10" spans="1:8" x14ac:dyDescent="0.25">
      <c r="A10" s="288"/>
      <c r="B10" s="288"/>
      <c r="C10" s="288"/>
      <c r="D10" s="288"/>
      <c r="E10" s="288"/>
      <c r="F10" s="288"/>
      <c r="G10" s="288"/>
      <c r="H10" s="288"/>
    </row>
    <row r="11" spans="1:8" x14ac:dyDescent="0.25">
      <c r="A11" s="288"/>
      <c r="B11" s="288"/>
      <c r="C11" s="288"/>
      <c r="D11" s="288"/>
      <c r="E11" s="288"/>
      <c r="F11" s="288"/>
      <c r="G11" s="288"/>
      <c r="H11" s="288"/>
    </row>
    <row r="12" spans="1:8" x14ac:dyDescent="0.25">
      <c r="A12" s="288"/>
      <c r="B12" s="288"/>
      <c r="C12" s="288"/>
      <c r="D12" s="288"/>
      <c r="E12" s="288"/>
      <c r="F12" s="288"/>
      <c r="G12" s="288"/>
      <c r="H12" s="288"/>
    </row>
    <row r="13" spans="1:8" x14ac:dyDescent="0.25">
      <c r="A13" s="288"/>
      <c r="B13" s="288"/>
      <c r="C13" s="288"/>
      <c r="D13" s="288"/>
      <c r="E13" s="288"/>
      <c r="F13" s="288"/>
      <c r="G13" s="288"/>
      <c r="H13" s="288"/>
    </row>
    <row r="14" spans="1:8" x14ac:dyDescent="0.25">
      <c r="A14" s="288"/>
      <c r="B14" s="288"/>
      <c r="C14" s="288"/>
      <c r="D14" s="288"/>
      <c r="E14" s="288"/>
      <c r="F14" s="288"/>
      <c r="G14" s="288"/>
      <c r="H14" s="288"/>
    </row>
    <row r="15" spans="1:8" ht="19.5" customHeight="1" thickBot="1" x14ac:dyDescent="0.3"/>
    <row r="16" spans="1:8" ht="19.5" customHeight="1" thickBot="1" x14ac:dyDescent="0.3">
      <c r="A16" s="289" t="s">
        <v>31</v>
      </c>
      <c r="B16" s="290"/>
      <c r="C16" s="290"/>
      <c r="D16" s="290"/>
      <c r="E16" s="290"/>
      <c r="F16" s="290"/>
      <c r="G16" s="290"/>
      <c r="H16" s="291"/>
    </row>
    <row r="17" spans="1:14" ht="18.75" x14ac:dyDescent="0.3">
      <c r="A17" s="160" t="s">
        <v>47</v>
      </c>
      <c r="B17" s="160"/>
    </row>
    <row r="18" spans="1:14" ht="18.75" x14ac:dyDescent="0.3">
      <c r="A18" s="266" t="s">
        <v>33</v>
      </c>
      <c r="B18" s="300" t="s">
        <v>123</v>
      </c>
      <c r="C18" s="300"/>
      <c r="D18" s="270"/>
      <c r="E18" s="270"/>
    </row>
    <row r="19" spans="1:14" ht="18.75" x14ac:dyDescent="0.3">
      <c r="A19" s="266" t="s">
        <v>34</v>
      </c>
      <c r="B19" s="269" t="s">
        <v>7</v>
      </c>
      <c r="C19" s="113">
        <v>24</v>
      </c>
    </row>
    <row r="20" spans="1:14" ht="18.75" x14ac:dyDescent="0.3">
      <c r="A20" s="266" t="s">
        <v>35</v>
      </c>
      <c r="B20" s="269" t="s">
        <v>107</v>
      </c>
    </row>
    <row r="21" spans="1:14" ht="26.25" x14ac:dyDescent="0.4">
      <c r="A21" s="266" t="s">
        <v>36</v>
      </c>
      <c r="B21" s="301" t="s">
        <v>11</v>
      </c>
      <c r="C21" s="301"/>
      <c r="D21" s="301"/>
      <c r="E21" s="301"/>
      <c r="F21" s="301"/>
      <c r="G21" s="301"/>
      <c r="H21" s="301"/>
      <c r="I21" s="268"/>
    </row>
    <row r="22" spans="1:14" ht="18.75" x14ac:dyDescent="0.3">
      <c r="A22" s="266" t="s">
        <v>37</v>
      </c>
      <c r="B22" s="267" t="s">
        <v>124</v>
      </c>
    </row>
    <row r="23" spans="1:14" ht="18.75" x14ac:dyDescent="0.3">
      <c r="A23" s="266" t="s">
        <v>38</v>
      </c>
      <c r="B23" s="267" t="s">
        <v>125</v>
      </c>
    </row>
    <row r="24" spans="1:14" ht="18.75" x14ac:dyDescent="0.3">
      <c r="A24" s="266"/>
      <c r="B24" s="265"/>
    </row>
    <row r="25" spans="1:14" ht="18.75" x14ac:dyDescent="0.3">
      <c r="A25" s="162" t="s">
        <v>1</v>
      </c>
      <c r="B25" s="265"/>
    </row>
    <row r="26" spans="1:14" ht="26.25" customHeight="1" x14ac:dyDescent="0.4">
      <c r="A26" s="119" t="s">
        <v>4</v>
      </c>
      <c r="B26" s="264" t="s">
        <v>128</v>
      </c>
      <c r="C26" s="222"/>
    </row>
    <row r="27" spans="1:14" ht="26.25" customHeight="1" x14ac:dyDescent="0.4">
      <c r="A27" s="128" t="s">
        <v>48</v>
      </c>
      <c r="B27" s="192" t="s">
        <v>113</v>
      </c>
    </row>
    <row r="28" spans="1:14" ht="27" customHeight="1" thickBot="1" x14ac:dyDescent="0.45">
      <c r="A28" s="128" t="s">
        <v>6</v>
      </c>
      <c r="B28" s="192">
        <v>99.2</v>
      </c>
    </row>
    <row r="29" spans="1:14" s="217" customFormat="1" ht="27" customHeight="1" thickBot="1" x14ac:dyDescent="0.45">
      <c r="A29" s="128" t="s">
        <v>49</v>
      </c>
      <c r="B29" s="192">
        <v>0</v>
      </c>
      <c r="C29" s="294" t="s">
        <v>50</v>
      </c>
      <c r="D29" s="295"/>
      <c r="E29" s="295"/>
      <c r="F29" s="295"/>
      <c r="G29" s="296"/>
      <c r="I29" s="218"/>
      <c r="J29" s="218"/>
      <c r="K29" s="218"/>
      <c r="L29" s="218"/>
    </row>
    <row r="30" spans="1:14" s="217" customFormat="1" ht="19.5" customHeight="1" thickBot="1" x14ac:dyDescent="0.35">
      <c r="A30" s="128" t="s">
        <v>51</v>
      </c>
      <c r="B30" s="127">
        <f>B28-B29</f>
        <v>99.2</v>
      </c>
      <c r="C30" s="220"/>
      <c r="D30" s="220"/>
      <c r="E30" s="220"/>
      <c r="F30" s="220"/>
      <c r="G30" s="219"/>
      <c r="I30" s="218"/>
      <c r="J30" s="218"/>
      <c r="K30" s="218"/>
      <c r="L30" s="218"/>
    </row>
    <row r="31" spans="1:14" s="217" customFormat="1" ht="27" customHeight="1" thickBot="1" x14ac:dyDescent="0.45">
      <c r="A31" s="128" t="s">
        <v>52</v>
      </c>
      <c r="B31" s="221">
        <v>1</v>
      </c>
      <c r="C31" s="297" t="s">
        <v>53</v>
      </c>
      <c r="D31" s="298"/>
      <c r="E31" s="298"/>
      <c r="F31" s="298"/>
      <c r="G31" s="298"/>
      <c r="H31" s="299"/>
      <c r="I31" s="218"/>
      <c r="J31" s="218"/>
      <c r="K31" s="218"/>
      <c r="L31" s="218"/>
    </row>
    <row r="32" spans="1:14" s="217" customFormat="1" ht="27" customHeight="1" thickBot="1" x14ac:dyDescent="0.45">
      <c r="A32" s="128" t="s">
        <v>54</v>
      </c>
      <c r="B32" s="221">
        <v>1</v>
      </c>
      <c r="C32" s="297" t="s">
        <v>55</v>
      </c>
      <c r="D32" s="298"/>
      <c r="E32" s="298"/>
      <c r="F32" s="298"/>
      <c r="G32" s="298"/>
      <c r="H32" s="299"/>
      <c r="I32" s="218"/>
      <c r="J32" s="218"/>
      <c r="K32" s="218"/>
      <c r="L32" s="258"/>
      <c r="M32" s="258"/>
      <c r="N32" s="261"/>
    </row>
    <row r="33" spans="1:14" s="217" customFormat="1" ht="17.25" customHeight="1" x14ac:dyDescent="0.3">
      <c r="A33" s="128"/>
      <c r="B33" s="263"/>
      <c r="C33" s="130"/>
      <c r="D33" s="130"/>
      <c r="E33" s="130"/>
      <c r="F33" s="130"/>
      <c r="G33" s="130"/>
      <c r="H33" s="130"/>
      <c r="I33" s="218"/>
      <c r="J33" s="218"/>
      <c r="K33" s="218"/>
      <c r="L33" s="258"/>
      <c r="M33" s="258"/>
      <c r="N33" s="261"/>
    </row>
    <row r="34" spans="1:14" s="217" customFormat="1" ht="18.75" x14ac:dyDescent="0.3">
      <c r="A34" s="128" t="s">
        <v>56</v>
      </c>
      <c r="B34" s="216">
        <f>B31/B32</f>
        <v>1</v>
      </c>
      <c r="C34" s="113" t="s">
        <v>57</v>
      </c>
      <c r="D34" s="113"/>
      <c r="E34" s="113"/>
      <c r="F34" s="113"/>
      <c r="G34" s="113"/>
      <c r="I34" s="218"/>
      <c r="J34" s="218"/>
      <c r="K34" s="218"/>
      <c r="L34" s="258"/>
      <c r="M34" s="258"/>
      <c r="N34" s="261"/>
    </row>
    <row r="35" spans="1:14" s="217" customFormat="1" ht="19.5" customHeight="1" thickBot="1" x14ac:dyDescent="0.35">
      <c r="A35" s="128"/>
      <c r="B35" s="127"/>
      <c r="G35" s="113"/>
      <c r="I35" s="218"/>
      <c r="J35" s="218"/>
      <c r="K35" s="218"/>
      <c r="L35" s="258"/>
      <c r="M35" s="258"/>
      <c r="N35" s="261"/>
    </row>
    <row r="36" spans="1:14" s="217" customFormat="1" ht="27" customHeight="1" thickBot="1" x14ac:dyDescent="0.45">
      <c r="A36" s="159" t="s">
        <v>120</v>
      </c>
      <c r="B36" s="158">
        <v>20</v>
      </c>
      <c r="C36" s="113"/>
      <c r="D36" s="277" t="s">
        <v>58</v>
      </c>
      <c r="E36" s="293"/>
      <c r="F36" s="277" t="s">
        <v>59</v>
      </c>
      <c r="G36" s="278"/>
      <c r="J36" s="218"/>
      <c r="K36" s="218"/>
      <c r="L36" s="258"/>
      <c r="M36" s="258"/>
      <c r="N36" s="261"/>
    </row>
    <row r="37" spans="1:14" s="217" customFormat="1" ht="15.75" customHeight="1" x14ac:dyDescent="0.4">
      <c r="A37" s="139" t="s">
        <v>60</v>
      </c>
      <c r="B37" s="138">
        <v>2</v>
      </c>
      <c r="C37" s="245" t="s">
        <v>119</v>
      </c>
      <c r="D37" s="213" t="s">
        <v>62</v>
      </c>
      <c r="E37" s="214" t="s">
        <v>63</v>
      </c>
      <c r="F37" s="213" t="s">
        <v>62</v>
      </c>
      <c r="G37" s="212" t="s">
        <v>63</v>
      </c>
      <c r="J37" s="218"/>
      <c r="K37" s="218"/>
      <c r="L37" s="258"/>
      <c r="M37" s="258"/>
      <c r="N37" s="261"/>
    </row>
    <row r="38" spans="1:14" s="217" customFormat="1" ht="26.25" customHeight="1" x14ac:dyDescent="0.4">
      <c r="A38" s="139" t="s">
        <v>64</v>
      </c>
      <c r="B38" s="138">
        <v>25</v>
      </c>
      <c r="C38" s="262">
        <v>1</v>
      </c>
      <c r="D38" s="209">
        <v>1587246</v>
      </c>
      <c r="E38" s="210">
        <f>IF(ISBLANK(D38),"-",$D$48/$D$45*D38)</f>
        <v>1708474.4217476069</v>
      </c>
      <c r="F38" s="209">
        <v>1738347</v>
      </c>
      <c r="G38" s="208">
        <f>IF(ISBLANK(F38),"-",$D$48/$F$45*F38)</f>
        <v>1697058.6971519664</v>
      </c>
      <c r="J38" s="218"/>
      <c r="K38" s="218"/>
      <c r="L38" s="258"/>
      <c r="M38" s="258"/>
      <c r="N38" s="261"/>
    </row>
    <row r="39" spans="1:14" s="217" customFormat="1" ht="26.25" customHeight="1" x14ac:dyDescent="0.4">
      <c r="A39" s="139" t="s">
        <v>65</v>
      </c>
      <c r="B39" s="138">
        <v>1</v>
      </c>
      <c r="C39" s="260">
        <v>2</v>
      </c>
      <c r="D39" s="206">
        <v>1584451</v>
      </c>
      <c r="E39" s="207">
        <f>IF(ISBLANK(D39),"-",$D$48/$D$45*D39)</f>
        <v>1705465.9492053643</v>
      </c>
      <c r="F39" s="206">
        <v>1737509</v>
      </c>
      <c r="G39" s="205">
        <f>IF(ISBLANK(F39),"-",$D$48/$F$45*F39)</f>
        <v>1696240.6008868287</v>
      </c>
      <c r="J39" s="218"/>
      <c r="K39" s="218"/>
      <c r="L39" s="258"/>
      <c r="M39" s="258"/>
      <c r="N39" s="261"/>
    </row>
    <row r="40" spans="1:14" ht="26.25" customHeight="1" x14ac:dyDescent="0.4">
      <c r="A40" s="139" t="s">
        <v>66</v>
      </c>
      <c r="B40" s="138">
        <v>1</v>
      </c>
      <c r="C40" s="260">
        <v>3</v>
      </c>
      <c r="D40" s="206">
        <v>1583116</v>
      </c>
      <c r="E40" s="207">
        <f>IF(ISBLANK(D40),"-",$D$48/$D$45*D40)</f>
        <v>1704028.9864705184</v>
      </c>
      <c r="F40" s="206">
        <v>1736562</v>
      </c>
      <c r="G40" s="205">
        <f>IF(ISBLANK(F40),"-",$D$48/$F$45*F40)</f>
        <v>1695316.0935323115</v>
      </c>
      <c r="L40" s="258"/>
      <c r="M40" s="258"/>
      <c r="N40" s="113"/>
    </row>
    <row r="41" spans="1:14" ht="26.25" customHeight="1" x14ac:dyDescent="0.4">
      <c r="A41" s="139" t="s">
        <v>67</v>
      </c>
      <c r="B41" s="138">
        <v>1</v>
      </c>
      <c r="C41" s="259">
        <v>4</v>
      </c>
      <c r="D41" s="203"/>
      <c r="E41" s="202" t="str">
        <f>IF(ISBLANK(D41),"-",$D$48/$D$45*D41)</f>
        <v>-</v>
      </c>
      <c r="F41" s="203"/>
      <c r="G41" s="200" t="str">
        <f>IF(ISBLANK(F41),"-",$D$48/$F$45*F41)</f>
        <v>-</v>
      </c>
      <c r="L41" s="258"/>
      <c r="M41" s="258"/>
      <c r="N41" s="113"/>
    </row>
    <row r="42" spans="1:14" ht="27" customHeight="1" thickBot="1" x14ac:dyDescent="0.45">
      <c r="A42" s="139" t="s">
        <v>68</v>
      </c>
      <c r="B42" s="138">
        <v>1</v>
      </c>
      <c r="C42" s="257" t="s">
        <v>69</v>
      </c>
      <c r="D42" s="256">
        <f>AVERAGE(D38:D41)</f>
        <v>1584937.6666666667</v>
      </c>
      <c r="E42" s="198">
        <f>AVERAGE(E38:E41)</f>
        <v>1705989.78580783</v>
      </c>
      <c r="F42" s="255">
        <f>AVERAGE(F38:F41)</f>
        <v>1737472.6666666667</v>
      </c>
      <c r="G42" s="254">
        <f>AVERAGE(G38:G41)</f>
        <v>1696205.1305237021</v>
      </c>
      <c r="H42" s="174"/>
    </row>
    <row r="43" spans="1:14" ht="26.25" customHeight="1" x14ac:dyDescent="0.4">
      <c r="A43" s="139" t="s">
        <v>70</v>
      </c>
      <c r="B43" s="192">
        <v>1</v>
      </c>
      <c r="C43" s="195" t="s">
        <v>99</v>
      </c>
      <c r="D43" s="194">
        <v>13.65</v>
      </c>
      <c r="E43" s="113"/>
      <c r="F43" s="193">
        <v>15.05</v>
      </c>
      <c r="H43" s="174"/>
    </row>
    <row r="44" spans="1:14" ht="26.25" customHeight="1" x14ac:dyDescent="0.4">
      <c r="A44" s="139" t="s">
        <v>71</v>
      </c>
      <c r="B44" s="192">
        <v>1</v>
      </c>
      <c r="C44" s="187" t="s">
        <v>100</v>
      </c>
      <c r="D44" s="186">
        <f>D43*$B$34</f>
        <v>13.65</v>
      </c>
      <c r="E44" s="114"/>
      <c r="F44" s="191">
        <f>F43*$B$34</f>
        <v>15.05</v>
      </c>
      <c r="H44" s="174"/>
    </row>
    <row r="45" spans="1:14" ht="19.5" customHeight="1" thickBot="1" x14ac:dyDescent="0.35">
      <c r="A45" s="139" t="s">
        <v>72</v>
      </c>
      <c r="B45" s="127">
        <f>(B44/B43)*(B42/B41)*(B40/B39)*(B38/B37)*B36</f>
        <v>250</v>
      </c>
      <c r="C45" s="187" t="s">
        <v>73</v>
      </c>
      <c r="D45" s="188">
        <f>D44*$B$30/100</f>
        <v>13.540800000000001</v>
      </c>
      <c r="E45" s="115"/>
      <c r="F45" s="190">
        <f>F44*$B$30/100</f>
        <v>14.929600000000001</v>
      </c>
      <c r="H45" s="174"/>
    </row>
    <row r="46" spans="1:14" ht="19.5" customHeight="1" thickBot="1" x14ac:dyDescent="0.35">
      <c r="A46" s="272" t="s">
        <v>74</v>
      </c>
      <c r="B46" s="279"/>
      <c r="C46" s="187" t="s">
        <v>75</v>
      </c>
      <c r="D46" s="186">
        <f>D45/$B$45</f>
        <v>5.4163200000000002E-2</v>
      </c>
      <c r="E46" s="115"/>
      <c r="F46" s="189">
        <f>F45/$B$45</f>
        <v>5.9718400000000005E-2</v>
      </c>
      <c r="H46" s="174"/>
    </row>
    <row r="47" spans="1:14" ht="27" customHeight="1" thickBot="1" x14ac:dyDescent="0.45">
      <c r="A47" s="274"/>
      <c r="B47" s="280"/>
      <c r="C47" s="187" t="s">
        <v>118</v>
      </c>
      <c r="D47" s="253">
        <f>58.3/100*5/50</f>
        <v>5.8299999999999998E-2</v>
      </c>
      <c r="F47" s="185"/>
      <c r="H47" s="174"/>
    </row>
    <row r="48" spans="1:14" ht="18.75" x14ac:dyDescent="0.3">
      <c r="C48" s="187" t="s">
        <v>76</v>
      </c>
      <c r="D48" s="186">
        <f>D47*$B$45</f>
        <v>14.574999999999999</v>
      </c>
      <c r="F48" s="185"/>
      <c r="H48" s="174"/>
    </row>
    <row r="49" spans="1:12" ht="19.5" customHeight="1" thickBot="1" x14ac:dyDescent="0.35">
      <c r="C49" s="184" t="s">
        <v>77</v>
      </c>
      <c r="D49" s="183">
        <f>D48/B34</f>
        <v>14.574999999999999</v>
      </c>
      <c r="F49" s="175"/>
      <c r="H49" s="174"/>
    </row>
    <row r="50" spans="1:12" ht="18.75" x14ac:dyDescent="0.3">
      <c r="C50" s="181" t="s">
        <v>78</v>
      </c>
      <c r="D50" s="180">
        <f>AVERAGE(E38:E41,G38:G41)</f>
        <v>1701097.458165766</v>
      </c>
      <c r="F50" s="175"/>
      <c r="H50" s="174"/>
    </row>
    <row r="51" spans="1:12" ht="18.75" x14ac:dyDescent="0.3">
      <c r="C51" s="178" t="s">
        <v>79</v>
      </c>
      <c r="D51" s="252">
        <f>STDEV(E38:E41,G38:G41)/D50</f>
        <v>3.2774950200151159E-3</v>
      </c>
      <c r="F51" s="175"/>
    </row>
    <row r="52" spans="1:12" ht="19.5" customHeight="1" thickBot="1" x14ac:dyDescent="0.35">
      <c r="C52" s="176" t="s">
        <v>20</v>
      </c>
      <c r="D52" s="251">
        <f>COUNT(E38:E41,G38:G41)</f>
        <v>6</v>
      </c>
      <c r="F52" s="175"/>
    </row>
    <row r="54" spans="1:12" ht="18.75" x14ac:dyDescent="0.3">
      <c r="A54" s="160" t="s">
        <v>1</v>
      </c>
      <c r="B54" s="250" t="s">
        <v>80</v>
      </c>
    </row>
    <row r="55" spans="1:12" ht="18.75" x14ac:dyDescent="0.3">
      <c r="A55" s="113" t="s">
        <v>81</v>
      </c>
      <c r="B55" s="249" t="str">
        <f>B21</f>
        <v>Each film coated tablet contains: Atanazavir (as sulfate) equivalent to Atazanavir 300 mg and Ritonavir 100 mg.</v>
      </c>
    </row>
    <row r="56" spans="1:12" ht="26.25" customHeight="1" x14ac:dyDescent="0.4">
      <c r="A56" s="249" t="s">
        <v>82</v>
      </c>
      <c r="B56" s="192">
        <v>100</v>
      </c>
      <c r="C56" s="113" t="str">
        <f>B20</f>
        <v>RITONAVIR</v>
      </c>
      <c r="H56" s="114"/>
    </row>
    <row r="57" spans="1:12" ht="18.75" x14ac:dyDescent="0.3">
      <c r="A57" s="249" t="s">
        <v>83</v>
      </c>
      <c r="B57" s="248">
        <f>Uniformity!C46</f>
        <v>1974.2755000000002</v>
      </c>
      <c r="H57" s="114"/>
    </row>
    <row r="58" spans="1:12" ht="19.5" customHeight="1" thickBot="1" x14ac:dyDescent="0.35">
      <c r="H58" s="114"/>
    </row>
    <row r="59" spans="1:12" s="217" customFormat="1" ht="27" customHeight="1" thickBot="1" x14ac:dyDescent="0.45">
      <c r="A59" s="159" t="s">
        <v>122</v>
      </c>
      <c r="B59" s="158">
        <v>200</v>
      </c>
      <c r="C59" s="113"/>
      <c r="D59" s="247" t="s">
        <v>84</v>
      </c>
      <c r="E59" s="246" t="s">
        <v>61</v>
      </c>
      <c r="F59" s="246" t="s">
        <v>62</v>
      </c>
      <c r="G59" s="246" t="s">
        <v>85</v>
      </c>
      <c r="H59" s="245" t="s">
        <v>86</v>
      </c>
      <c r="L59" s="218"/>
    </row>
    <row r="60" spans="1:12" s="217" customFormat="1" ht="22.5" customHeight="1" x14ac:dyDescent="0.4">
      <c r="A60" s="139" t="s">
        <v>104</v>
      </c>
      <c r="B60" s="138">
        <v>3</v>
      </c>
      <c r="C60" s="281" t="s">
        <v>87</v>
      </c>
      <c r="D60" s="284">
        <v>1985.03</v>
      </c>
      <c r="E60" s="238">
        <v>1</v>
      </c>
      <c r="F60" s="237">
        <v>1721328</v>
      </c>
      <c r="G60" s="244">
        <f>IF(ISBLANK(F60),"-",(F60/$D$50*$D$47*$B$68)*($B$57/$D$60))</f>
        <v>97.789544550809651</v>
      </c>
      <c r="H60" s="243">
        <f t="shared" ref="H60:H71" si="0">IF(ISBLANK(F60),"-",G60/$B$56)</f>
        <v>0.97789544550809648</v>
      </c>
      <c r="L60" s="218"/>
    </row>
    <row r="61" spans="1:12" s="217" customFormat="1" ht="26.25" customHeight="1" x14ac:dyDescent="0.4">
      <c r="A61" s="139" t="s">
        <v>88</v>
      </c>
      <c r="B61" s="138">
        <v>25</v>
      </c>
      <c r="C61" s="282"/>
      <c r="D61" s="285"/>
      <c r="E61" s="233">
        <v>2</v>
      </c>
      <c r="F61" s="206">
        <v>1723918</v>
      </c>
      <c r="G61" s="242">
        <f>IF(ISBLANK(F61),"-",(F61/$D$50*$D$47*$B$68)*($B$57/$D$60))</f>
        <v>97.936683806306931</v>
      </c>
      <c r="H61" s="231">
        <f t="shared" si="0"/>
        <v>0.97936683806306934</v>
      </c>
      <c r="L61" s="218"/>
    </row>
    <row r="62" spans="1:12" s="217" customFormat="1" ht="26.25" customHeight="1" x14ac:dyDescent="0.4">
      <c r="A62" s="139" t="s">
        <v>89</v>
      </c>
      <c r="B62" s="138">
        <v>1</v>
      </c>
      <c r="C62" s="282"/>
      <c r="D62" s="285"/>
      <c r="E62" s="233">
        <v>3</v>
      </c>
      <c r="F62" s="206">
        <v>1741969</v>
      </c>
      <c r="G62" s="242">
        <f>IF(ISBLANK(F62),"-",(F62/$D$50*$D$47*$B$68)*($B$57/$D$60))</f>
        <v>98.962170563442513</v>
      </c>
      <c r="H62" s="231">
        <f t="shared" si="0"/>
        <v>0.98962170563442509</v>
      </c>
      <c r="L62" s="218"/>
    </row>
    <row r="63" spans="1:12" ht="21" customHeight="1" thickBot="1" x14ac:dyDescent="0.45">
      <c r="A63" s="139" t="s">
        <v>90</v>
      </c>
      <c r="B63" s="138">
        <v>1</v>
      </c>
      <c r="C63" s="292"/>
      <c r="D63" s="286"/>
      <c r="E63" s="230">
        <v>4</v>
      </c>
      <c r="F63" s="229"/>
      <c r="G63" s="242" t="str">
        <f>IF(ISBLANK(F63),"-",(F63/$D$50*$D$47*$B$68)*($B$57/$D$60))</f>
        <v>-</v>
      </c>
      <c r="H63" s="231" t="str">
        <f t="shared" si="0"/>
        <v>-</v>
      </c>
    </row>
    <row r="64" spans="1:12" ht="26.25" customHeight="1" x14ac:dyDescent="0.4">
      <c r="A64" s="139" t="s">
        <v>91</v>
      </c>
      <c r="B64" s="138">
        <v>1</v>
      </c>
      <c r="C64" s="281" t="s">
        <v>92</v>
      </c>
      <c r="D64" s="284">
        <v>1977.56</v>
      </c>
      <c r="E64" s="238">
        <v>1</v>
      </c>
      <c r="F64" s="237">
        <v>1767654</v>
      </c>
      <c r="G64" s="236">
        <f>IF(ISBLANK(F64),"-",(F64/$D$50*$D$47*$B$68)*($B$57/$D$64))</f>
        <v>100.80067867443398</v>
      </c>
      <c r="H64" s="241">
        <f t="shared" si="0"/>
        <v>1.0080067867443399</v>
      </c>
    </row>
    <row r="65" spans="1:8" ht="26.25" customHeight="1" x14ac:dyDescent="0.4">
      <c r="A65" s="139" t="s">
        <v>93</v>
      </c>
      <c r="B65" s="138">
        <v>1</v>
      </c>
      <c r="C65" s="282"/>
      <c r="D65" s="285"/>
      <c r="E65" s="233">
        <v>2</v>
      </c>
      <c r="F65" s="206">
        <v>1768826</v>
      </c>
      <c r="G65" s="232">
        <f>IF(ISBLANK(F65),"-",(F65/$D$50*$D$47*$B$68)*($B$57/$D$64))</f>
        <v>100.86751211322145</v>
      </c>
      <c r="H65" s="240">
        <f t="shared" si="0"/>
        <v>1.0086751211322145</v>
      </c>
    </row>
    <row r="66" spans="1:8" ht="26.25" customHeight="1" x14ac:dyDescent="0.4">
      <c r="A66" s="139" t="s">
        <v>94</v>
      </c>
      <c r="B66" s="138">
        <v>1</v>
      </c>
      <c r="C66" s="282"/>
      <c r="D66" s="285"/>
      <c r="E66" s="233">
        <v>3</v>
      </c>
      <c r="F66" s="206">
        <v>1771166</v>
      </c>
      <c r="G66" s="232">
        <f>IF(ISBLANK(F66),"-",(F66/$D$50*$D$47*$B$68)*($B$57/$D$64))</f>
        <v>101.00095089032273</v>
      </c>
      <c r="H66" s="240">
        <f t="shared" si="0"/>
        <v>1.0100095089032273</v>
      </c>
    </row>
    <row r="67" spans="1:8" ht="21" customHeight="1" thickBot="1" x14ac:dyDescent="0.45">
      <c r="A67" s="139" t="s">
        <v>95</v>
      </c>
      <c r="B67" s="138">
        <v>1</v>
      </c>
      <c r="C67" s="292"/>
      <c r="D67" s="286"/>
      <c r="E67" s="230">
        <v>4</v>
      </c>
      <c r="F67" s="229"/>
      <c r="G67" s="228" t="str">
        <f>IF(ISBLANK(F67),"-",(F67/$D$50*$D$47*$B$68)*($B$57/$D$64))</f>
        <v>-</v>
      </c>
      <c r="H67" s="239" t="str">
        <f t="shared" si="0"/>
        <v>-</v>
      </c>
    </row>
    <row r="68" spans="1:8" ht="21.75" customHeight="1" x14ac:dyDescent="0.4">
      <c r="A68" s="139" t="s">
        <v>96</v>
      </c>
      <c r="B68" s="166">
        <f>(B67/B66)*(B65/B64)*(B63/B62)*(B61/B60)*B59</f>
        <v>1666.6666666666667</v>
      </c>
      <c r="C68" s="281" t="s">
        <v>97</v>
      </c>
      <c r="D68" s="284">
        <v>1770.66</v>
      </c>
      <c r="E68" s="238">
        <v>1</v>
      </c>
      <c r="F68" s="237">
        <v>1525568</v>
      </c>
      <c r="G68" s="236">
        <f>IF(ISBLANK(F68),"-",(F68/$D$50*$D$47*$B$68)*($B$57/$D$68))</f>
        <v>97.161063274998909</v>
      </c>
      <c r="H68" s="231">
        <f t="shared" si="0"/>
        <v>0.97161063274998904</v>
      </c>
    </row>
    <row r="69" spans="1:8" ht="21.75" customHeight="1" thickBot="1" x14ac:dyDescent="0.45">
      <c r="A69" s="235" t="s">
        <v>98</v>
      </c>
      <c r="B69" s="234">
        <f>D47*B68/B56*B57</f>
        <v>1918.3376941666668</v>
      </c>
      <c r="C69" s="282"/>
      <c r="D69" s="285"/>
      <c r="E69" s="233">
        <v>2</v>
      </c>
      <c r="F69" s="206">
        <v>1527718</v>
      </c>
      <c r="G69" s="232">
        <f>IF(ISBLANK(F69),"-",(F69/$D$50*$D$47*$B$68)*($B$57/$D$68))</f>
        <v>97.297993445296953</v>
      </c>
      <c r="H69" s="231">
        <f t="shared" si="0"/>
        <v>0.97297993445296949</v>
      </c>
    </row>
    <row r="70" spans="1:8" ht="22.5" customHeight="1" x14ac:dyDescent="0.4">
      <c r="A70" s="302" t="s">
        <v>74</v>
      </c>
      <c r="B70" s="303"/>
      <c r="C70" s="282"/>
      <c r="D70" s="285"/>
      <c r="E70" s="233">
        <v>3</v>
      </c>
      <c r="F70" s="206">
        <v>1527460</v>
      </c>
      <c r="G70" s="232">
        <f>IF(ISBLANK(F70),"-",(F70/$D$50*$D$47*$B$68)*($B$57/$D$68))</f>
        <v>97.281561824861171</v>
      </c>
      <c r="H70" s="231">
        <f t="shared" si="0"/>
        <v>0.97281561824861174</v>
      </c>
    </row>
    <row r="71" spans="1:8" ht="21.75" customHeight="1" thickBot="1" x14ac:dyDescent="0.45">
      <c r="A71" s="304"/>
      <c r="B71" s="305"/>
      <c r="C71" s="283"/>
      <c r="D71" s="286"/>
      <c r="E71" s="230">
        <v>4</v>
      </c>
      <c r="F71" s="229"/>
      <c r="G71" s="228" t="str">
        <f>IF(ISBLANK(F71),"-",(F71/$D$50*$D$47*$B$68)*($B$57/$D$68))</f>
        <v>-</v>
      </c>
      <c r="H71" s="227" t="str">
        <f t="shared" si="0"/>
        <v>-</v>
      </c>
    </row>
    <row r="72" spans="1:8" ht="26.25" customHeight="1" x14ac:dyDescent="0.4">
      <c r="A72" s="114"/>
      <c r="B72" s="114"/>
      <c r="C72" s="114"/>
      <c r="D72" s="114"/>
      <c r="E72" s="114"/>
      <c r="F72" s="114"/>
      <c r="G72" s="226" t="s">
        <v>69</v>
      </c>
      <c r="H72" s="225">
        <f>AVERAGE(H60:H71)</f>
        <v>0.98788684349299372</v>
      </c>
    </row>
    <row r="73" spans="1:8" ht="26.25" customHeight="1" x14ac:dyDescent="0.4">
      <c r="C73" s="114"/>
      <c r="D73" s="114"/>
      <c r="E73" s="114"/>
      <c r="F73" s="114"/>
      <c r="G73" s="178" t="s">
        <v>79</v>
      </c>
      <c r="H73" s="224">
        <f>STDEV(H60:H71)/H72</f>
        <v>1.6847688592389685E-2</v>
      </c>
    </row>
    <row r="74" spans="1:8" ht="27" customHeight="1" thickBot="1" x14ac:dyDescent="0.45">
      <c r="A74" s="114"/>
      <c r="B74" s="114"/>
      <c r="C74" s="114"/>
      <c r="D74" s="114"/>
      <c r="E74" s="115"/>
      <c r="F74" s="114"/>
      <c r="G74" s="176" t="s">
        <v>20</v>
      </c>
      <c r="H74" s="223">
        <f>COUNT(H60:H71)</f>
        <v>9</v>
      </c>
    </row>
    <row r="75" spans="1:8" ht="18.75" x14ac:dyDescent="0.3">
      <c r="A75" s="114"/>
      <c r="B75" s="114"/>
      <c r="C75" s="114"/>
      <c r="D75" s="114"/>
      <c r="E75" s="115"/>
      <c r="F75" s="114"/>
      <c r="G75" s="128"/>
      <c r="H75" s="127"/>
    </row>
    <row r="76" spans="1:8" ht="18.75" x14ac:dyDescent="0.3">
      <c r="A76" s="119" t="s">
        <v>114</v>
      </c>
      <c r="B76" s="128" t="s">
        <v>105</v>
      </c>
      <c r="C76" s="276" t="str">
        <f>B20</f>
        <v>RITONAVIR</v>
      </c>
      <c r="D76" s="276"/>
      <c r="E76" s="113" t="s">
        <v>121</v>
      </c>
      <c r="F76" s="113"/>
      <c r="G76" s="126">
        <f>H72</f>
        <v>0.98788684349299372</v>
      </c>
      <c r="H76" s="127"/>
    </row>
    <row r="77" spans="1:8" ht="18.75" x14ac:dyDescent="0.3">
      <c r="A77" s="114"/>
      <c r="B77" s="114"/>
      <c r="C77" s="114"/>
      <c r="D77" s="114"/>
      <c r="E77" s="115"/>
      <c r="F77" s="114"/>
      <c r="G77" s="128"/>
      <c r="H77" s="127"/>
    </row>
    <row r="78" spans="1:8" ht="26.25" customHeight="1" x14ac:dyDescent="0.4">
      <c r="A78" s="162" t="s">
        <v>117</v>
      </c>
      <c r="B78" s="162" t="s">
        <v>116</v>
      </c>
      <c r="D78" s="161">
        <v>45</v>
      </c>
    </row>
    <row r="79" spans="1:8" ht="18.75" x14ac:dyDescent="0.3">
      <c r="A79" s="162"/>
      <c r="B79" s="162"/>
    </row>
    <row r="80" spans="1:8" ht="26.25" customHeight="1" x14ac:dyDescent="0.4">
      <c r="A80" s="119" t="s">
        <v>4</v>
      </c>
      <c r="B80" s="192" t="s">
        <v>128</v>
      </c>
      <c r="C80" s="222"/>
    </row>
    <row r="81" spans="1:12" ht="26.25" customHeight="1" x14ac:dyDescent="0.4">
      <c r="A81" s="128" t="s">
        <v>48</v>
      </c>
      <c r="B81" s="192" t="s">
        <v>113</v>
      </c>
    </row>
    <row r="82" spans="1:12" ht="27" customHeight="1" thickBot="1" x14ac:dyDescent="0.45">
      <c r="A82" s="128" t="s">
        <v>6</v>
      </c>
      <c r="B82" s="192">
        <v>99.2</v>
      </c>
    </row>
    <row r="83" spans="1:12" s="217" customFormat="1" ht="27" customHeight="1" thickBot="1" x14ac:dyDescent="0.45">
      <c r="A83" s="128" t="s">
        <v>49</v>
      </c>
      <c r="B83" s="192">
        <f>B29</f>
        <v>0</v>
      </c>
      <c r="C83" s="294" t="s">
        <v>50</v>
      </c>
      <c r="D83" s="295"/>
      <c r="E83" s="295"/>
      <c r="F83" s="295"/>
      <c r="G83" s="296"/>
      <c r="I83" s="218"/>
      <c r="J83" s="218"/>
      <c r="K83" s="218"/>
      <c r="L83" s="218"/>
    </row>
    <row r="84" spans="1:12" s="217" customFormat="1" ht="18.75" x14ac:dyDescent="0.3">
      <c r="A84" s="128" t="s">
        <v>51</v>
      </c>
      <c r="B84" s="127">
        <f>B82-B83</f>
        <v>99.2</v>
      </c>
      <c r="C84" s="220"/>
      <c r="D84" s="220"/>
      <c r="E84" s="220"/>
      <c r="F84" s="220"/>
      <c r="G84" s="219"/>
      <c r="I84" s="218"/>
      <c r="J84" s="218"/>
      <c r="K84" s="218"/>
      <c r="L84" s="218"/>
    </row>
    <row r="85" spans="1:12" s="217" customFormat="1" ht="19.5" customHeight="1" thickBot="1" x14ac:dyDescent="0.35">
      <c r="A85" s="128"/>
      <c r="B85" s="127"/>
      <c r="C85" s="220"/>
      <c r="D85" s="220"/>
      <c r="E85" s="220"/>
      <c r="F85" s="220"/>
      <c r="G85" s="219"/>
      <c r="I85" s="218"/>
      <c r="J85" s="218"/>
      <c r="K85" s="218"/>
      <c r="L85" s="218"/>
    </row>
    <row r="86" spans="1:12" s="217" customFormat="1" ht="27" customHeight="1" thickBot="1" x14ac:dyDescent="0.45">
      <c r="A86" s="128" t="s">
        <v>52</v>
      </c>
      <c r="B86" s="221">
        <v>1</v>
      </c>
      <c r="C86" s="297" t="s">
        <v>53</v>
      </c>
      <c r="D86" s="298"/>
      <c r="E86" s="298"/>
      <c r="F86" s="298"/>
      <c r="G86" s="298"/>
      <c r="H86" s="299"/>
      <c r="I86" s="218"/>
      <c r="J86" s="218"/>
      <c r="K86" s="218"/>
      <c r="L86" s="218"/>
    </row>
    <row r="87" spans="1:12" s="217" customFormat="1" ht="27" customHeight="1" thickBot="1" x14ac:dyDescent="0.45">
      <c r="A87" s="128" t="s">
        <v>54</v>
      </c>
      <c r="B87" s="221">
        <v>1</v>
      </c>
      <c r="C87" s="297" t="s">
        <v>55</v>
      </c>
      <c r="D87" s="298"/>
      <c r="E87" s="298"/>
      <c r="F87" s="298"/>
      <c r="G87" s="298"/>
      <c r="H87" s="299"/>
      <c r="I87" s="218"/>
      <c r="J87" s="218"/>
      <c r="K87" s="218"/>
      <c r="L87" s="218"/>
    </row>
    <row r="88" spans="1:12" s="217" customFormat="1" ht="18.75" x14ac:dyDescent="0.3">
      <c r="A88" s="128"/>
      <c r="B88" s="127"/>
      <c r="C88" s="220"/>
      <c r="D88" s="220"/>
      <c r="E88" s="220"/>
      <c r="F88" s="220"/>
      <c r="G88" s="219"/>
      <c r="I88" s="218"/>
      <c r="J88" s="218"/>
      <c r="K88" s="218"/>
      <c r="L88" s="218"/>
    </row>
    <row r="89" spans="1:12" ht="18.75" x14ac:dyDescent="0.3">
      <c r="A89" s="128" t="s">
        <v>56</v>
      </c>
      <c r="B89" s="216">
        <f>B86/B87</f>
        <v>1</v>
      </c>
      <c r="C89" s="113" t="s">
        <v>57</v>
      </c>
    </row>
    <row r="90" spans="1:12" ht="19.5" customHeight="1" thickBot="1" x14ac:dyDescent="0.35">
      <c r="A90" s="128"/>
      <c r="B90" s="216"/>
    </row>
    <row r="91" spans="1:12" ht="27" customHeight="1" thickBot="1" x14ac:dyDescent="0.45">
      <c r="A91" s="159" t="s">
        <v>120</v>
      </c>
      <c r="B91" s="158">
        <v>100</v>
      </c>
      <c r="D91" s="157" t="s">
        <v>58</v>
      </c>
      <c r="E91" s="215"/>
      <c r="F91" s="277" t="s">
        <v>59</v>
      </c>
      <c r="G91" s="278"/>
    </row>
    <row r="92" spans="1:12" ht="26.25" customHeight="1" x14ac:dyDescent="0.4">
      <c r="A92" s="139" t="s">
        <v>60</v>
      </c>
      <c r="B92" s="138">
        <v>1</v>
      </c>
      <c r="C92" s="123" t="s">
        <v>119</v>
      </c>
      <c r="D92" s="213" t="s">
        <v>62</v>
      </c>
      <c r="E92" s="214" t="s">
        <v>63</v>
      </c>
      <c r="F92" s="213" t="s">
        <v>62</v>
      </c>
      <c r="G92" s="212" t="s">
        <v>63</v>
      </c>
    </row>
    <row r="93" spans="1:12" ht="26.25" customHeight="1" x14ac:dyDescent="0.4">
      <c r="A93" s="139" t="s">
        <v>64</v>
      </c>
      <c r="B93" s="138">
        <v>1</v>
      </c>
      <c r="C93" s="211">
        <v>1</v>
      </c>
      <c r="D93" s="209">
        <v>1612237</v>
      </c>
      <c r="E93" s="210">
        <f>IF(ISBLANK(D93),"-",$D$103/$D$100*D93)</f>
        <v>1681397.5908238385</v>
      </c>
      <c r="F93" s="209">
        <v>1447294</v>
      </c>
      <c r="G93" s="208">
        <f>IF(ISBLANK(F93),"-",$D$103/$F$100*F93)</f>
        <v>1674662.2197043749</v>
      </c>
    </row>
    <row r="94" spans="1:12" ht="26.25" customHeight="1" x14ac:dyDescent="0.4">
      <c r="A94" s="139" t="s">
        <v>65</v>
      </c>
      <c r="B94" s="138">
        <v>1</v>
      </c>
      <c r="C94" s="114">
        <v>2</v>
      </c>
      <c r="D94" s="206">
        <v>1615827</v>
      </c>
      <c r="E94" s="207">
        <f>IF(ISBLANK(D94),"-",$D$103/$D$100*D94)</f>
        <v>1685141.5920786525</v>
      </c>
      <c r="F94" s="206">
        <v>1452920</v>
      </c>
      <c r="G94" s="205">
        <f>IF(ISBLANK(F94),"-",$D$103/$F$100*F94)</f>
        <v>1681172.0578216177</v>
      </c>
    </row>
    <row r="95" spans="1:12" ht="26.25" customHeight="1" x14ac:dyDescent="0.4">
      <c r="A95" s="139" t="s">
        <v>66</v>
      </c>
      <c r="B95" s="138">
        <v>1</v>
      </c>
      <c r="C95" s="114">
        <v>3</v>
      </c>
      <c r="D95" s="206">
        <v>1616037</v>
      </c>
      <c r="E95" s="207">
        <f>IF(ISBLANK(D95),"-",$D$103/$D$100*D95)</f>
        <v>1685360.6005086</v>
      </c>
      <c r="F95" s="206">
        <v>1445300</v>
      </c>
      <c r="G95" s="205">
        <f>IF(ISBLANK(F95),"-",$D$103/$F$100*F95)</f>
        <v>1672354.9646020317</v>
      </c>
    </row>
    <row r="96" spans="1:12" ht="26.25" customHeight="1" x14ac:dyDescent="0.4">
      <c r="A96" s="139" t="s">
        <v>67</v>
      </c>
      <c r="B96" s="138">
        <v>1</v>
      </c>
      <c r="C96" s="204">
        <v>4</v>
      </c>
      <c r="D96" s="203"/>
      <c r="E96" s="202" t="str">
        <f>IF(ISBLANK(D96),"-",$D$103/$D$100*D96)</f>
        <v>-</v>
      </c>
      <c r="F96" s="201"/>
      <c r="G96" s="200" t="str">
        <f>IF(ISBLANK(F96),"-",$D$103/$F$100*F96)</f>
        <v>-</v>
      </c>
    </row>
    <row r="97" spans="1:10" ht="27" customHeight="1" thickBot="1" x14ac:dyDescent="0.45">
      <c r="A97" s="139" t="s">
        <v>68</v>
      </c>
      <c r="B97" s="138">
        <v>1</v>
      </c>
      <c r="C97" s="128" t="s">
        <v>69</v>
      </c>
      <c r="D97" s="199">
        <f>AVERAGE(D93:D96)</f>
        <v>1614700.3333333333</v>
      </c>
      <c r="E97" s="198">
        <f>AVERAGE(E93:E96)</f>
        <v>1683966.5944703638</v>
      </c>
      <c r="F97" s="197">
        <f>AVERAGE(F93:F96)</f>
        <v>1448504.6666666667</v>
      </c>
      <c r="G97" s="196">
        <f>AVERAGE(G93:G96)</f>
        <v>1676063.0807093412</v>
      </c>
    </row>
    <row r="98" spans="1:10" ht="26.25" customHeight="1" x14ac:dyDescent="0.4">
      <c r="A98" s="139" t="s">
        <v>70</v>
      </c>
      <c r="B98" s="192">
        <v>1</v>
      </c>
      <c r="C98" s="195" t="s">
        <v>99</v>
      </c>
      <c r="D98" s="194">
        <v>10.74</v>
      </c>
      <c r="E98" s="113"/>
      <c r="F98" s="193">
        <v>9.68</v>
      </c>
    </row>
    <row r="99" spans="1:10" ht="26.25" customHeight="1" x14ac:dyDescent="0.4">
      <c r="A99" s="139" t="s">
        <v>71</v>
      </c>
      <c r="B99" s="192">
        <v>1</v>
      </c>
      <c r="C99" s="187" t="s">
        <v>100</v>
      </c>
      <c r="D99" s="186">
        <f>D98*$B$89</f>
        <v>10.74</v>
      </c>
      <c r="E99" s="114"/>
      <c r="F99" s="191">
        <f>F98*$B$89</f>
        <v>9.68</v>
      </c>
    </row>
    <row r="100" spans="1:10" ht="19.5" customHeight="1" thickBot="1" x14ac:dyDescent="0.35">
      <c r="A100" s="139" t="s">
        <v>72</v>
      </c>
      <c r="B100" s="127">
        <f>(B99/B98)*(B97/B96)*(B95/B94)*(B93/B92)*B91</f>
        <v>100</v>
      </c>
      <c r="C100" s="187" t="s">
        <v>73</v>
      </c>
      <c r="D100" s="188">
        <f>D99*$B$84/100</f>
        <v>10.65408</v>
      </c>
      <c r="E100" s="115"/>
      <c r="F100" s="190">
        <f>F99*$B$84/100</f>
        <v>9.6025600000000004</v>
      </c>
    </row>
    <row r="101" spans="1:10" ht="19.5" customHeight="1" thickBot="1" x14ac:dyDescent="0.35">
      <c r="A101" s="272" t="s">
        <v>74</v>
      </c>
      <c r="B101" s="279"/>
      <c r="C101" s="187" t="s">
        <v>75</v>
      </c>
      <c r="D101" s="186">
        <f>D100/$B$100</f>
        <v>0.1065408</v>
      </c>
      <c r="E101" s="115"/>
      <c r="F101" s="189">
        <f>F100/$B$100</f>
        <v>9.6025600000000003E-2</v>
      </c>
      <c r="H101" s="174"/>
    </row>
    <row r="102" spans="1:10" ht="19.5" customHeight="1" thickBot="1" x14ac:dyDescent="0.35">
      <c r="A102" s="274"/>
      <c r="B102" s="280"/>
      <c r="C102" s="187" t="s">
        <v>118</v>
      </c>
      <c r="D102" s="188">
        <f>$B$56/$B$118</f>
        <v>0.1111111111111111</v>
      </c>
      <c r="F102" s="185"/>
      <c r="G102" s="179"/>
      <c r="H102" s="174"/>
    </row>
    <row r="103" spans="1:10" ht="18.75" x14ac:dyDescent="0.3">
      <c r="C103" s="187" t="s">
        <v>76</v>
      </c>
      <c r="D103" s="186">
        <f>D102*$B$100</f>
        <v>11.111111111111111</v>
      </c>
      <c r="F103" s="185"/>
      <c r="H103" s="174"/>
    </row>
    <row r="104" spans="1:10" ht="19.5" customHeight="1" thickBot="1" x14ac:dyDescent="0.35">
      <c r="C104" s="184" t="s">
        <v>77</v>
      </c>
      <c r="D104" s="183">
        <f>D103/B34</f>
        <v>11.111111111111111</v>
      </c>
      <c r="F104" s="175"/>
      <c r="H104" s="174"/>
      <c r="J104" s="182"/>
    </row>
    <row r="105" spans="1:10" ht="18.75" x14ac:dyDescent="0.3">
      <c r="C105" s="181" t="s">
        <v>78</v>
      </c>
      <c r="D105" s="180">
        <f>AVERAGE(E93:E96,G93:G96)</f>
        <v>1680014.8375898525</v>
      </c>
      <c r="F105" s="175"/>
      <c r="G105" s="179"/>
      <c r="H105" s="174"/>
      <c r="J105" s="163"/>
    </row>
    <row r="106" spans="1:10" ht="18.75" x14ac:dyDescent="0.3">
      <c r="C106" s="178" t="s">
        <v>79</v>
      </c>
      <c r="D106" s="177">
        <f>STDEV(E93:E96,G93:G96)/D105</f>
        <v>3.210243947398867E-3</v>
      </c>
      <c r="F106" s="175"/>
      <c r="H106" s="174"/>
      <c r="J106" s="163"/>
    </row>
    <row r="107" spans="1:10" ht="19.5" customHeight="1" thickBot="1" x14ac:dyDescent="0.35">
      <c r="C107" s="176" t="s">
        <v>20</v>
      </c>
      <c r="D107" s="164">
        <f>COUNT(E93:E96,G93:G96)</f>
        <v>6</v>
      </c>
      <c r="F107" s="175"/>
      <c r="H107" s="174"/>
      <c r="J107" s="163"/>
    </row>
    <row r="108" spans="1:10" ht="19.5" customHeight="1" thickBot="1" x14ac:dyDescent="0.35">
      <c r="A108" s="160"/>
      <c r="B108" s="160"/>
      <c r="C108" s="160"/>
      <c r="D108" s="160"/>
      <c r="E108" s="160"/>
    </row>
    <row r="109" spans="1:10" ht="26.25" customHeight="1" x14ac:dyDescent="0.4">
      <c r="A109" s="159" t="s">
        <v>101</v>
      </c>
      <c r="B109" s="158">
        <v>900</v>
      </c>
      <c r="C109" s="157" t="s">
        <v>115</v>
      </c>
      <c r="D109" s="156" t="s">
        <v>62</v>
      </c>
      <c r="E109" s="155" t="s">
        <v>102</v>
      </c>
      <c r="F109" s="154" t="s">
        <v>103</v>
      </c>
    </row>
    <row r="110" spans="1:10" ht="26.25" customHeight="1" x14ac:dyDescent="0.4">
      <c r="A110" s="139" t="s">
        <v>104</v>
      </c>
      <c r="B110" s="138">
        <v>1</v>
      </c>
      <c r="C110" s="143">
        <v>1</v>
      </c>
      <c r="D110" s="151">
        <v>721853</v>
      </c>
      <c r="E110" s="173">
        <f t="shared" ref="E110:E115" si="1">IF(ISBLANK(D110),"-",D110/$D$105*$D$102*$B$118)</f>
        <v>42.967060995459391</v>
      </c>
      <c r="F110" s="172">
        <f t="shared" ref="F110:F115" si="2">IF(ISBLANK(D110), "-", E110/$B$56)</f>
        <v>0.42967060995459394</v>
      </c>
    </row>
    <row r="111" spans="1:10" ht="26.25" customHeight="1" x14ac:dyDescent="0.4">
      <c r="A111" s="139" t="s">
        <v>88</v>
      </c>
      <c r="B111" s="138">
        <v>1</v>
      </c>
      <c r="C111" s="143">
        <v>2</v>
      </c>
      <c r="D111" s="151">
        <v>721295</v>
      </c>
      <c r="E111" s="171">
        <f t="shared" si="1"/>
        <v>42.93384700308772</v>
      </c>
      <c r="F111" s="170">
        <f t="shared" si="2"/>
        <v>0.42933847003087722</v>
      </c>
    </row>
    <row r="112" spans="1:10" ht="26.25" customHeight="1" x14ac:dyDescent="0.4">
      <c r="A112" s="139" t="s">
        <v>89</v>
      </c>
      <c r="B112" s="138">
        <v>1</v>
      </c>
      <c r="C112" s="143">
        <v>3</v>
      </c>
      <c r="D112" s="151">
        <v>727908</v>
      </c>
      <c r="E112" s="171">
        <f t="shared" si="1"/>
        <v>43.327474478990673</v>
      </c>
      <c r="F112" s="170">
        <f t="shared" si="2"/>
        <v>0.43327474478990674</v>
      </c>
    </row>
    <row r="113" spans="1:10" ht="26.25" customHeight="1" x14ac:dyDescent="0.4">
      <c r="A113" s="139" t="s">
        <v>90</v>
      </c>
      <c r="B113" s="138">
        <v>1</v>
      </c>
      <c r="C113" s="143">
        <v>4</v>
      </c>
      <c r="D113" s="151">
        <v>727086</v>
      </c>
      <c r="E113" s="171">
        <f t="shared" si="1"/>
        <v>43.278546339690479</v>
      </c>
      <c r="F113" s="170">
        <f t="shared" si="2"/>
        <v>0.43278546339690477</v>
      </c>
    </row>
    <row r="114" spans="1:10" ht="26.25" customHeight="1" x14ac:dyDescent="0.4">
      <c r="A114" s="139" t="s">
        <v>91</v>
      </c>
      <c r="B114" s="138">
        <v>1</v>
      </c>
      <c r="C114" s="143">
        <v>5</v>
      </c>
      <c r="D114" s="151">
        <v>724062</v>
      </c>
      <c r="E114" s="171">
        <f t="shared" si="1"/>
        <v>43.09854792941821</v>
      </c>
      <c r="F114" s="170">
        <f t="shared" si="2"/>
        <v>0.43098547929418207</v>
      </c>
    </row>
    <row r="115" spans="1:10" ht="26.25" customHeight="1" x14ac:dyDescent="0.4">
      <c r="A115" s="139" t="s">
        <v>93</v>
      </c>
      <c r="B115" s="138">
        <v>1</v>
      </c>
      <c r="C115" s="148">
        <v>6</v>
      </c>
      <c r="D115" s="147">
        <v>721528</v>
      </c>
      <c r="E115" s="169">
        <f t="shared" si="1"/>
        <v>42.947715928217825</v>
      </c>
      <c r="F115" s="168">
        <f t="shared" si="2"/>
        <v>0.42947715928217822</v>
      </c>
    </row>
    <row r="116" spans="1:10" ht="26.25" customHeight="1" x14ac:dyDescent="0.4">
      <c r="A116" s="139" t="s">
        <v>94</v>
      </c>
      <c r="B116" s="138">
        <v>1</v>
      </c>
      <c r="C116" s="143"/>
      <c r="D116" s="114"/>
      <c r="E116" s="113"/>
      <c r="F116" s="144"/>
    </row>
    <row r="117" spans="1:10" ht="26.25" customHeight="1" x14ac:dyDescent="0.4">
      <c r="A117" s="139" t="s">
        <v>95</v>
      </c>
      <c r="B117" s="138">
        <v>1</v>
      </c>
      <c r="C117" s="143"/>
      <c r="D117" s="142"/>
      <c r="E117" s="141" t="s">
        <v>69</v>
      </c>
      <c r="F117" s="167">
        <f>AVERAGE(F110:F115)</f>
        <v>0.43092198779144048</v>
      </c>
    </row>
    <row r="118" spans="1:10" ht="19.5" customHeight="1" thickBot="1" x14ac:dyDescent="0.35">
      <c r="A118" s="139" t="s">
        <v>96</v>
      </c>
      <c r="B118" s="166">
        <f>(B117/B116)*(B115/B114)*(B113/B112)*(B111/B110)*B109</f>
        <v>900</v>
      </c>
      <c r="C118" s="137"/>
      <c r="D118" s="136"/>
      <c r="E118" s="128" t="s">
        <v>79</v>
      </c>
      <c r="F118" s="165">
        <f>STDEV(F110:F115)/F117</f>
        <v>4.0425246718048423E-3</v>
      </c>
      <c r="I118" s="113"/>
    </row>
    <row r="119" spans="1:10" ht="19.5" customHeight="1" thickBot="1" x14ac:dyDescent="0.35">
      <c r="A119" s="272" t="s">
        <v>74</v>
      </c>
      <c r="B119" s="273"/>
      <c r="C119" s="134"/>
      <c r="D119" s="133"/>
      <c r="E119" s="132" t="s">
        <v>20</v>
      </c>
      <c r="F119" s="164">
        <f>COUNT(F110:F115)</f>
        <v>6</v>
      </c>
      <c r="I119" s="113"/>
      <c r="J119" s="163"/>
    </row>
    <row r="120" spans="1:10" ht="19.5" customHeight="1" thickBot="1" x14ac:dyDescent="0.35">
      <c r="A120" s="274"/>
      <c r="B120" s="275"/>
      <c r="C120" s="113"/>
      <c r="D120" s="113"/>
      <c r="E120" s="113"/>
      <c r="F120" s="114"/>
      <c r="G120" s="113"/>
      <c r="H120" s="113"/>
      <c r="I120" s="113"/>
    </row>
    <row r="121" spans="1:10" ht="18.75" x14ac:dyDescent="0.3">
      <c r="A121" s="130"/>
      <c r="B121" s="130"/>
      <c r="C121" s="113"/>
      <c r="D121" s="113"/>
      <c r="E121" s="113"/>
      <c r="F121" s="114"/>
      <c r="G121" s="113"/>
      <c r="H121" s="113"/>
      <c r="I121" s="113"/>
    </row>
    <row r="122" spans="1:10" ht="18.75" x14ac:dyDescent="0.3">
      <c r="A122" s="119" t="s">
        <v>114</v>
      </c>
      <c r="B122" s="128" t="s">
        <v>105</v>
      </c>
      <c r="C122" s="276" t="str">
        <f>B20</f>
        <v>RITONAVIR</v>
      </c>
      <c r="D122" s="276"/>
      <c r="E122" s="113" t="s">
        <v>106</v>
      </c>
      <c r="F122" s="113"/>
      <c r="G122" s="126">
        <f>F117</f>
        <v>0.43092198779144048</v>
      </c>
      <c r="H122" s="113"/>
      <c r="I122" s="113"/>
    </row>
    <row r="123" spans="1:10" ht="18.75" x14ac:dyDescent="0.3">
      <c r="A123" s="130"/>
      <c r="B123" s="130"/>
      <c r="C123" s="113"/>
      <c r="D123" s="113"/>
      <c r="E123" s="113"/>
      <c r="F123" s="114"/>
      <c r="G123" s="113"/>
      <c r="H123" s="113"/>
      <c r="I123" s="113"/>
    </row>
    <row r="124" spans="1:10" ht="26.25" customHeight="1" x14ac:dyDescent="0.4">
      <c r="A124" s="162" t="s">
        <v>117</v>
      </c>
      <c r="B124" s="162" t="s">
        <v>116</v>
      </c>
      <c r="D124" s="161" t="s">
        <v>127</v>
      </c>
    </row>
    <row r="125" spans="1:10" ht="19.5" customHeight="1" thickBot="1" x14ac:dyDescent="0.35">
      <c r="A125" s="160"/>
      <c r="B125" s="160"/>
      <c r="C125" s="160"/>
      <c r="D125" s="160"/>
      <c r="E125" s="160"/>
    </row>
    <row r="126" spans="1:10" ht="26.25" customHeight="1" x14ac:dyDescent="0.4">
      <c r="A126" s="159" t="s">
        <v>101</v>
      </c>
      <c r="B126" s="158">
        <v>900</v>
      </c>
      <c r="C126" s="157" t="s">
        <v>115</v>
      </c>
      <c r="D126" s="156" t="s">
        <v>62</v>
      </c>
      <c r="E126" s="155" t="s">
        <v>102</v>
      </c>
      <c r="F126" s="154" t="s">
        <v>103</v>
      </c>
    </row>
    <row r="127" spans="1:10" ht="26.25" customHeight="1" x14ac:dyDescent="0.4">
      <c r="A127" s="139" t="s">
        <v>104</v>
      </c>
      <c r="B127" s="138">
        <v>1</v>
      </c>
      <c r="C127" s="143">
        <v>1</v>
      </c>
      <c r="D127" s="151">
        <v>1350363</v>
      </c>
      <c r="E127" s="153">
        <f t="shared" ref="E127:E132" si="3">IF(ISBLANK(D127),"-",D127/$D$105*$D$102*$B$135)</f>
        <v>80.378040109290296</v>
      </c>
      <c r="F127" s="152">
        <f t="shared" ref="F127:F132" si="4">IF(ISBLANK(D127), "-", E127/$B$56)</f>
        <v>0.80378040109290294</v>
      </c>
    </row>
    <row r="128" spans="1:10" ht="26.25" customHeight="1" x14ac:dyDescent="0.4">
      <c r="A128" s="139" t="s">
        <v>88</v>
      </c>
      <c r="B128" s="138">
        <v>1</v>
      </c>
      <c r="C128" s="143">
        <v>2</v>
      </c>
      <c r="D128" s="151">
        <v>1351831</v>
      </c>
      <c r="E128" s="150">
        <f t="shared" si="3"/>
        <v>80.465420289938336</v>
      </c>
      <c r="F128" s="149">
        <f t="shared" si="4"/>
        <v>0.80465420289938339</v>
      </c>
    </row>
    <row r="129" spans="1:10" ht="26.25" customHeight="1" x14ac:dyDescent="0.4">
      <c r="A129" s="139" t="s">
        <v>89</v>
      </c>
      <c r="B129" s="138">
        <v>1</v>
      </c>
      <c r="C129" s="143">
        <v>3</v>
      </c>
      <c r="D129" s="151">
        <v>1352381</v>
      </c>
      <c r="E129" s="150">
        <f t="shared" si="3"/>
        <v>80.498158096039447</v>
      </c>
      <c r="F129" s="149">
        <f t="shared" si="4"/>
        <v>0.80498158096039452</v>
      </c>
    </row>
    <row r="130" spans="1:10" ht="26.25" customHeight="1" x14ac:dyDescent="0.4">
      <c r="A130" s="139" t="s">
        <v>90</v>
      </c>
      <c r="B130" s="138">
        <v>1</v>
      </c>
      <c r="C130" s="143">
        <v>4</v>
      </c>
      <c r="D130" s="151">
        <v>1352124</v>
      </c>
      <c r="E130" s="150">
        <f t="shared" si="3"/>
        <v>80.482860612097667</v>
      </c>
      <c r="F130" s="149">
        <f t="shared" si="4"/>
        <v>0.80482860612097662</v>
      </c>
    </row>
    <row r="131" spans="1:10" ht="26.25" customHeight="1" x14ac:dyDescent="0.4">
      <c r="A131" s="139" t="s">
        <v>91</v>
      </c>
      <c r="B131" s="138">
        <v>1</v>
      </c>
      <c r="C131" s="143">
        <v>5</v>
      </c>
      <c r="D131" s="151">
        <v>1351672</v>
      </c>
      <c r="E131" s="150">
        <f t="shared" si="3"/>
        <v>80.455956087810932</v>
      </c>
      <c r="F131" s="149">
        <f t="shared" si="4"/>
        <v>0.80455956087810931</v>
      </c>
    </row>
    <row r="132" spans="1:10" ht="26.25" customHeight="1" x14ac:dyDescent="0.4">
      <c r="A132" s="139" t="s">
        <v>93</v>
      </c>
      <c r="B132" s="138">
        <v>1</v>
      </c>
      <c r="C132" s="148">
        <v>6</v>
      </c>
      <c r="D132" s="147">
        <v>1351135</v>
      </c>
      <c r="E132" s="146">
        <f t="shared" si="3"/>
        <v>80.423992084399501</v>
      </c>
      <c r="F132" s="145">
        <f t="shared" si="4"/>
        <v>0.80423992084399498</v>
      </c>
    </row>
    <row r="133" spans="1:10" ht="26.25" customHeight="1" x14ac:dyDescent="0.4">
      <c r="A133" s="139" t="s">
        <v>94</v>
      </c>
      <c r="B133" s="138">
        <v>1</v>
      </c>
      <c r="C133" s="143"/>
      <c r="D133" s="114"/>
      <c r="E133" s="113"/>
      <c r="F133" s="144"/>
    </row>
    <row r="134" spans="1:10" ht="26.25" customHeight="1" x14ac:dyDescent="0.4">
      <c r="A134" s="139" t="s">
        <v>95</v>
      </c>
      <c r="B134" s="138">
        <v>1</v>
      </c>
      <c r="C134" s="143"/>
      <c r="D134" s="142"/>
      <c r="E134" s="141" t="s">
        <v>69</v>
      </c>
      <c r="F134" s="140">
        <f>AVERAGE(F127:F132)</f>
        <v>0.80450737879929368</v>
      </c>
    </row>
    <row r="135" spans="1:10" ht="27" customHeight="1" thickBot="1" x14ac:dyDescent="0.45">
      <c r="A135" s="139" t="s">
        <v>96</v>
      </c>
      <c r="B135" s="138">
        <f>(B134/B133)*(B132/B131)*(B130/B129)*(B128/B127)*B126</f>
        <v>900</v>
      </c>
      <c r="C135" s="137"/>
      <c r="D135" s="136"/>
      <c r="E135" s="128" t="s">
        <v>79</v>
      </c>
      <c r="F135" s="135">
        <f>STDEV(F127:F132)/F134</f>
        <v>5.4248377088325118E-4</v>
      </c>
      <c r="I135" s="113"/>
    </row>
    <row r="136" spans="1:10" ht="27" customHeight="1" thickBot="1" x14ac:dyDescent="0.45">
      <c r="A136" s="272" t="s">
        <v>74</v>
      </c>
      <c r="B136" s="273"/>
      <c r="C136" s="134"/>
      <c r="D136" s="133"/>
      <c r="E136" s="132" t="s">
        <v>20</v>
      </c>
      <c r="F136" s="131">
        <f>COUNT(F127:F132)</f>
        <v>6</v>
      </c>
      <c r="I136" s="113"/>
      <c r="J136" s="163"/>
    </row>
    <row r="137" spans="1:10" ht="19.5" customHeight="1" thickBot="1" x14ac:dyDescent="0.35">
      <c r="A137" s="274"/>
      <c r="B137" s="275"/>
      <c r="C137" s="113"/>
      <c r="D137" s="113"/>
      <c r="E137" s="113"/>
      <c r="F137" s="114"/>
      <c r="G137" s="113"/>
      <c r="H137" s="113"/>
      <c r="I137" s="113"/>
    </row>
    <row r="138" spans="1:10" ht="18.75" x14ac:dyDescent="0.3">
      <c r="A138" s="130"/>
      <c r="B138" s="130"/>
      <c r="C138" s="113"/>
      <c r="D138" s="113"/>
      <c r="E138" s="113"/>
      <c r="F138" s="114"/>
      <c r="G138" s="113"/>
      <c r="H138" s="113"/>
      <c r="I138" s="113"/>
    </row>
    <row r="139" spans="1:10" ht="26.25" customHeight="1" x14ac:dyDescent="0.4">
      <c r="A139" s="119" t="s">
        <v>114</v>
      </c>
      <c r="B139" s="128" t="s">
        <v>105</v>
      </c>
      <c r="C139" s="276" t="str">
        <f>B20</f>
        <v>RITONAVIR</v>
      </c>
      <c r="D139" s="276"/>
      <c r="E139" s="113" t="s">
        <v>106</v>
      </c>
      <c r="F139" s="113"/>
      <c r="G139" s="129">
        <f>F134</f>
        <v>0.80450737879929368</v>
      </c>
      <c r="H139" s="113"/>
      <c r="I139" s="113"/>
    </row>
    <row r="140" spans="1:10" ht="19.5" thickBot="1" x14ac:dyDescent="0.35">
      <c r="A140" s="119"/>
      <c r="B140" s="128"/>
      <c r="C140" s="127"/>
      <c r="D140" s="127"/>
      <c r="E140" s="113"/>
      <c r="F140" s="113"/>
      <c r="G140" s="126"/>
      <c r="H140" s="113"/>
      <c r="I140" s="113"/>
    </row>
    <row r="141" spans="1:10" ht="18.75" x14ac:dyDescent="0.3">
      <c r="B141" s="271" t="s">
        <v>26</v>
      </c>
      <c r="C141" s="271"/>
      <c r="E141" s="123" t="s">
        <v>27</v>
      </c>
      <c r="F141" s="122"/>
      <c r="G141" s="271" t="s">
        <v>28</v>
      </c>
      <c r="H141" s="271"/>
    </row>
    <row r="142" spans="1:10" ht="83.1" customHeight="1" x14ac:dyDescent="0.3">
      <c r="A142" s="119" t="s">
        <v>29</v>
      </c>
      <c r="B142" s="121"/>
      <c r="C142" s="121"/>
      <c r="E142" s="120"/>
      <c r="F142" s="113"/>
      <c r="G142" s="120"/>
      <c r="H142" s="120"/>
    </row>
    <row r="143" spans="1:10" ht="83.1" customHeight="1" x14ac:dyDescent="0.3">
      <c r="A143" s="119" t="s">
        <v>30</v>
      </c>
      <c r="B143" s="118"/>
      <c r="C143" s="118"/>
      <c r="E143" s="117"/>
      <c r="F143" s="113"/>
      <c r="G143" s="116"/>
      <c r="H143" s="116"/>
    </row>
    <row r="144" spans="1:10" ht="18.75" x14ac:dyDescent="0.3">
      <c r="A144" s="114"/>
      <c r="B144" s="114"/>
      <c r="C144" s="114"/>
      <c r="D144" s="114"/>
      <c r="E144" s="114"/>
      <c r="F144" s="115"/>
      <c r="G144" s="114"/>
      <c r="H144" s="114"/>
      <c r="I144" s="113"/>
    </row>
    <row r="145" spans="1:9" ht="18.75" x14ac:dyDescent="0.3">
      <c r="A145" s="114"/>
      <c r="B145" s="114"/>
      <c r="C145" s="114"/>
      <c r="D145" s="114"/>
      <c r="E145" s="114"/>
      <c r="F145" s="115"/>
      <c r="G145" s="114"/>
      <c r="H145" s="114"/>
      <c r="I145" s="113"/>
    </row>
    <row r="146" spans="1:9" ht="18.75" x14ac:dyDescent="0.3">
      <c r="A146" s="114"/>
      <c r="B146" s="114"/>
      <c r="C146" s="114"/>
      <c r="D146" s="114"/>
      <c r="E146" s="114"/>
      <c r="F146" s="115"/>
      <c r="G146" s="114"/>
      <c r="H146" s="114"/>
      <c r="I146" s="113"/>
    </row>
    <row r="147" spans="1:9" ht="18.75" x14ac:dyDescent="0.3">
      <c r="A147" s="114"/>
      <c r="B147" s="114"/>
      <c r="C147" s="114"/>
      <c r="D147" s="114"/>
      <c r="E147" s="114"/>
      <c r="F147" s="115"/>
      <c r="G147" s="114"/>
      <c r="H147" s="114"/>
      <c r="I147" s="113"/>
    </row>
    <row r="148" spans="1:9" ht="18.75" x14ac:dyDescent="0.3">
      <c r="A148" s="114"/>
      <c r="B148" s="114"/>
      <c r="C148" s="114"/>
      <c r="D148" s="114"/>
      <c r="E148" s="114"/>
      <c r="F148" s="115"/>
      <c r="G148" s="114"/>
      <c r="H148" s="114"/>
      <c r="I148" s="113"/>
    </row>
    <row r="149" spans="1:9" ht="18.75" x14ac:dyDescent="0.3">
      <c r="A149" s="114"/>
      <c r="B149" s="114"/>
      <c r="C149" s="114"/>
      <c r="D149" s="114"/>
      <c r="E149" s="114"/>
      <c r="F149" s="115"/>
      <c r="G149" s="114"/>
      <c r="H149" s="114"/>
      <c r="I149" s="113"/>
    </row>
    <row r="150" spans="1:9" ht="18.75" x14ac:dyDescent="0.3">
      <c r="A150" s="114"/>
      <c r="B150" s="114"/>
      <c r="C150" s="114"/>
      <c r="D150" s="114"/>
      <c r="E150" s="114"/>
      <c r="F150" s="115"/>
      <c r="G150" s="114"/>
      <c r="H150" s="114"/>
      <c r="I150" s="113"/>
    </row>
    <row r="151" spans="1:9" ht="18.75" x14ac:dyDescent="0.3">
      <c r="A151" s="114"/>
      <c r="B151" s="114"/>
      <c r="C151" s="114"/>
      <c r="D151" s="114"/>
      <c r="E151" s="114"/>
      <c r="F151" s="115"/>
      <c r="G151" s="114"/>
      <c r="H151" s="114"/>
      <c r="I151" s="113"/>
    </row>
    <row r="152" spans="1:9" ht="18.75" x14ac:dyDescent="0.3">
      <c r="A152" s="114"/>
      <c r="B152" s="114"/>
      <c r="C152" s="114"/>
      <c r="D152" s="114"/>
      <c r="E152" s="114"/>
      <c r="F152" s="115"/>
      <c r="G152" s="114"/>
      <c r="H152" s="114"/>
      <c r="I152" s="113"/>
    </row>
    <row r="215" spans="1:1" x14ac:dyDescent="0.25">
      <c r="A215" s="112">
        <v>0</v>
      </c>
    </row>
  </sheetData>
  <sheetProtection formatCells="0" formatColumns="0"/>
  <mergeCells count="30">
    <mergeCell ref="B141:C141"/>
    <mergeCell ref="G141:H141"/>
    <mergeCell ref="C122:D122"/>
    <mergeCell ref="A136:B137"/>
    <mergeCell ref="C139:D139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60:C63"/>
    <mergeCell ref="D60:D63"/>
    <mergeCell ref="A1:H7"/>
    <mergeCell ref="A8:H14"/>
    <mergeCell ref="A16:H16"/>
    <mergeCell ref="B18:C18"/>
    <mergeCell ref="B21:H21"/>
    <mergeCell ref="C29:G29"/>
    <mergeCell ref="C31:H31"/>
    <mergeCell ref="C32:H32"/>
    <mergeCell ref="D36:E36"/>
    <mergeCell ref="F36:G36"/>
    <mergeCell ref="A46:B47"/>
  </mergeCells>
  <printOptions horizontalCentered="1" verticalCentered="1"/>
  <pageMargins left="0.7" right="0.7" top="0.75" bottom="0.75" header="0.3" footer="0.3"/>
  <pageSetup paperSize="9" scale="23" orientation="portrait" horizontalDpi="4294967295" verticalDpi="4294967295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Atazanavir 1</vt:lpstr>
      <vt:lpstr>SST RITONAVIR</vt:lpstr>
      <vt:lpstr>Uniformity</vt:lpstr>
      <vt:lpstr>SST ATAZANAVIR</vt:lpstr>
      <vt:lpstr>RITONAVIR 1</vt:lpstr>
      <vt:lpstr>'Atazanavir 1'!Print_Area</vt:lpstr>
      <vt:lpstr>'RITONAVIR 1'!Print_Area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2018-02-28T13:29:39Z</cp:lastPrinted>
  <dcterms:created xsi:type="dcterms:W3CDTF">2005-07-05T10:19:27Z</dcterms:created>
  <dcterms:modified xsi:type="dcterms:W3CDTF">2018-02-28T14:11:24Z</dcterms:modified>
</cp:coreProperties>
</file>