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41\Deputy-Director\Analysis Worksheets\2018\Feb\"/>
    </mc:Choice>
  </mc:AlternateContent>
  <bookViews>
    <workbookView xWindow="0" yWindow="0" windowWidth="20490" windowHeight="7650" activeTab="2"/>
  </bookViews>
  <sheets>
    <sheet name="SST RITONAVIR" sheetId="11" r:id="rId1"/>
    <sheet name="SST ATAZANAVIR" sheetId="12" r:id="rId2"/>
    <sheet name="Atazanavir 1" sheetId="9" r:id="rId3"/>
    <sheet name="RITONAVIR 1" sheetId="10" r:id="rId4"/>
    <sheet name="Uniformity" sheetId="2" r:id="rId5"/>
  </sheets>
  <definedNames>
    <definedName name="_xlnm.Print_Area" localSheetId="2">'Atazanavir 1'!$A$1:$H$144</definedName>
    <definedName name="_xlnm.Print_Area" localSheetId="3">'RITONAVIR 1'!$A$1:$H$144</definedName>
    <definedName name="_xlnm.Print_Area" localSheetId="4">Uniformity!$A$1:$F$54</definedName>
  </definedNames>
  <calcPr calcId="162913"/>
</workbook>
</file>

<file path=xl/calcChain.xml><?xml version="1.0" encoding="utf-8"?>
<calcChain xmlns="http://schemas.openxmlformats.org/spreadsheetml/2006/main">
  <c r="C139" i="10" l="1"/>
  <c r="B53" i="12" l="1"/>
  <c r="E51" i="12"/>
  <c r="D51" i="12"/>
  <c r="C51" i="12"/>
  <c r="B51" i="12"/>
  <c r="B52" i="12" s="1"/>
  <c r="B42" i="12"/>
  <c r="B32" i="12"/>
  <c r="E30" i="12"/>
  <c r="D30" i="12"/>
  <c r="C30" i="12"/>
  <c r="B30" i="12"/>
  <c r="B31" i="12" s="1"/>
  <c r="B21" i="12"/>
  <c r="B53" i="11"/>
  <c r="E51" i="11"/>
  <c r="D51" i="11"/>
  <c r="C51" i="11"/>
  <c r="B51" i="11"/>
  <c r="B52" i="11" s="1"/>
  <c r="B42" i="11"/>
  <c r="B32" i="11"/>
  <c r="E30" i="11"/>
  <c r="D30" i="11"/>
  <c r="C30" i="11"/>
  <c r="B30" i="11"/>
  <c r="B31" i="11" s="1"/>
  <c r="B21" i="11"/>
  <c r="B135" i="10"/>
  <c r="C122" i="10"/>
  <c r="B118" i="10"/>
  <c r="D102" i="10" s="1"/>
  <c r="B100" i="10"/>
  <c r="F97" i="10"/>
  <c r="D97" i="10"/>
  <c r="G96" i="10"/>
  <c r="E96" i="10"/>
  <c r="B89" i="10"/>
  <c r="D99" i="10" s="1"/>
  <c r="B83" i="10"/>
  <c r="B84" i="10" s="1"/>
  <c r="C76" i="10"/>
  <c r="H71" i="10"/>
  <c r="G71" i="10"/>
  <c r="B68" i="10"/>
  <c r="H67" i="10"/>
  <c r="G67" i="10"/>
  <c r="H63" i="10"/>
  <c r="G63" i="10"/>
  <c r="C56" i="10"/>
  <c r="B55" i="10"/>
  <c r="B45" i="10"/>
  <c r="D48" i="10" s="1"/>
  <c r="F42" i="10"/>
  <c r="D42" i="10"/>
  <c r="G41" i="10"/>
  <c r="E41" i="10"/>
  <c r="B34" i="10"/>
  <c r="F44" i="10" s="1"/>
  <c r="B30" i="10"/>
  <c r="C139" i="9"/>
  <c r="B135" i="9"/>
  <c r="C122" i="9"/>
  <c r="B118" i="9"/>
  <c r="D102" i="9" s="1"/>
  <c r="D103" i="9" s="1"/>
  <c r="B100" i="9"/>
  <c r="F97" i="9"/>
  <c r="D97" i="9"/>
  <c r="G96" i="9"/>
  <c r="E96" i="9"/>
  <c r="B89" i="9"/>
  <c r="D99" i="9" s="1"/>
  <c r="B83" i="9"/>
  <c r="B84" i="9" s="1"/>
  <c r="B80" i="9"/>
  <c r="C76" i="9"/>
  <c r="H71" i="9"/>
  <c r="G71" i="9"/>
  <c r="B68" i="9"/>
  <c r="H67" i="9"/>
  <c r="G67" i="9"/>
  <c r="H63" i="9"/>
  <c r="G63" i="9"/>
  <c r="C56" i="9"/>
  <c r="B55" i="9"/>
  <c r="D48" i="9"/>
  <c r="B45" i="9"/>
  <c r="F42" i="9"/>
  <c r="D42" i="9"/>
  <c r="G41" i="9"/>
  <c r="E41" i="9"/>
  <c r="B34" i="9"/>
  <c r="F44" i="9" s="1"/>
  <c r="F45" i="9" s="1"/>
  <c r="B30" i="9"/>
  <c r="D103" i="10" l="1"/>
  <c r="D100" i="10"/>
  <c r="D101" i="10" s="1"/>
  <c r="D100" i="9"/>
  <c r="D101" i="9" s="1"/>
  <c r="F45" i="10"/>
  <c r="F46" i="10" s="1"/>
  <c r="F99" i="9"/>
  <c r="F100" i="9" s="1"/>
  <c r="F101" i="9" s="1"/>
  <c r="F99" i="10"/>
  <c r="F100" i="10" s="1"/>
  <c r="F101" i="10" s="1"/>
  <c r="E95" i="9"/>
  <c r="G95" i="9"/>
  <c r="E94" i="9"/>
  <c r="D104" i="9"/>
  <c r="G38" i="10"/>
  <c r="D49" i="10"/>
  <c r="D104" i="10"/>
  <c r="F46" i="9"/>
  <c r="G39" i="9"/>
  <c r="E38" i="9"/>
  <c r="E40" i="9"/>
  <c r="D44" i="9"/>
  <c r="D45" i="9" s="1"/>
  <c r="D46" i="9" s="1"/>
  <c r="D49" i="9"/>
  <c r="G38" i="9"/>
  <c r="G42" i="9" s="1"/>
  <c r="G40" i="9"/>
  <c r="D44" i="10"/>
  <c r="D45" i="10" s="1"/>
  <c r="D46" i="10" s="1"/>
  <c r="G39" i="10" l="1"/>
  <c r="E93" i="10"/>
  <c r="E94" i="10"/>
  <c r="E95" i="10"/>
  <c r="G40" i="10"/>
  <c r="G42" i="10" s="1"/>
  <c r="G93" i="10"/>
  <c r="G94" i="10"/>
  <c r="G95" i="10"/>
  <c r="G93" i="9"/>
  <c r="G97" i="9" s="1"/>
  <c r="G94" i="9"/>
  <c r="E93" i="9"/>
  <c r="E40" i="10"/>
  <c r="E39" i="10"/>
  <c r="D107" i="9"/>
  <c r="E97" i="9"/>
  <c r="E38" i="10"/>
  <c r="E39" i="9"/>
  <c r="D50" i="9" s="1"/>
  <c r="D105" i="10" l="1"/>
  <c r="E127" i="10" s="1"/>
  <c r="F127" i="10" s="1"/>
  <c r="E97" i="10"/>
  <c r="D107" i="10"/>
  <c r="G97" i="10"/>
  <c r="D105" i="9"/>
  <c r="E127" i="9" s="1"/>
  <c r="F127" i="9" s="1"/>
  <c r="D51" i="9"/>
  <c r="D52" i="9"/>
  <c r="E131" i="10"/>
  <c r="F131" i="10" s="1"/>
  <c r="E129" i="10"/>
  <c r="F129" i="10" s="1"/>
  <c r="E115" i="10"/>
  <c r="F115" i="10" s="1"/>
  <c r="E113" i="10"/>
  <c r="F113" i="10" s="1"/>
  <c r="E111" i="10"/>
  <c r="F111" i="10" s="1"/>
  <c r="D106" i="10"/>
  <c r="E132" i="10"/>
  <c r="F132" i="10" s="1"/>
  <c r="E130" i="10"/>
  <c r="F130" i="10" s="1"/>
  <c r="E128" i="10"/>
  <c r="F128" i="10" s="1"/>
  <c r="E114" i="10"/>
  <c r="F114" i="10" s="1"/>
  <c r="E112" i="10"/>
  <c r="F112" i="10" s="1"/>
  <c r="E110" i="10"/>
  <c r="F110" i="10" s="1"/>
  <c r="E131" i="9"/>
  <c r="F131" i="9" s="1"/>
  <c r="E129" i="9"/>
  <c r="F129" i="9" s="1"/>
  <c r="E130" i="9"/>
  <c r="F130" i="9" s="1"/>
  <c r="E128" i="9"/>
  <c r="F128" i="9" s="1"/>
  <c r="E42" i="9"/>
  <c r="D50" i="10"/>
  <c r="E42" i="10"/>
  <c r="D52" i="10"/>
  <c r="C46" i="2"/>
  <c r="C45" i="2"/>
  <c r="D25" i="2"/>
  <c r="C19" i="2"/>
  <c r="E111" i="9" l="1"/>
  <c r="F111" i="9" s="1"/>
  <c r="E110" i="9"/>
  <c r="F110" i="9" s="1"/>
  <c r="F119" i="9" s="1"/>
  <c r="E113" i="9"/>
  <c r="F113" i="9" s="1"/>
  <c r="E112" i="9"/>
  <c r="F112" i="9" s="1"/>
  <c r="E132" i="9"/>
  <c r="F132" i="9" s="1"/>
  <c r="F134" i="9" s="1"/>
  <c r="E115" i="9"/>
  <c r="F115" i="9" s="1"/>
  <c r="E114" i="9"/>
  <c r="F114" i="9" s="1"/>
  <c r="D106" i="9"/>
  <c r="B57" i="10"/>
  <c r="B69" i="10" s="1"/>
  <c r="B57" i="9"/>
  <c r="D51" i="10"/>
  <c r="F136" i="9"/>
  <c r="F134" i="10"/>
  <c r="G139" i="10" s="1"/>
  <c r="F136" i="10"/>
  <c r="F117" i="9"/>
  <c r="F119" i="10"/>
  <c r="F117" i="10"/>
  <c r="D27" i="2"/>
  <c r="D31" i="2"/>
  <c r="D35" i="2"/>
  <c r="D39" i="2"/>
  <c r="D43" i="2"/>
  <c r="C49" i="2"/>
  <c r="D24" i="2"/>
  <c r="D28" i="2"/>
  <c r="D32" i="2"/>
  <c r="D36" i="2"/>
  <c r="D40" i="2"/>
  <c r="D49" i="2"/>
  <c r="C50" i="2"/>
  <c r="D29" i="2"/>
  <c r="D33" i="2"/>
  <c r="D37" i="2"/>
  <c r="D41" i="2"/>
  <c r="D26" i="2"/>
  <c r="D30" i="2"/>
  <c r="D34" i="2"/>
  <c r="D38" i="2"/>
  <c r="D42" i="2"/>
  <c r="B49" i="2"/>
  <c r="D50" i="2"/>
  <c r="G62" i="10" l="1"/>
  <c r="H62" i="10" s="1"/>
  <c r="G66" i="10"/>
  <c r="H66" i="10" s="1"/>
  <c r="G65" i="10"/>
  <c r="H65" i="10" s="1"/>
  <c r="G68" i="10"/>
  <c r="H68" i="10" s="1"/>
  <c r="G64" i="10"/>
  <c r="H64" i="10" s="1"/>
  <c r="G61" i="10"/>
  <c r="H61" i="10" s="1"/>
  <c r="G60" i="10"/>
  <c r="H60" i="10" s="1"/>
  <c r="G69" i="10"/>
  <c r="H69" i="10" s="1"/>
  <c r="G70" i="10"/>
  <c r="H70" i="10" s="1"/>
  <c r="B69" i="9"/>
  <c r="G70" i="9"/>
  <c r="H70" i="9" s="1"/>
  <c r="G62" i="9"/>
  <c r="H62" i="9" s="1"/>
  <c r="G60" i="9"/>
  <c r="H60" i="9" s="1"/>
  <c r="G66" i="9"/>
  <c r="H66" i="9" s="1"/>
  <c r="G68" i="9"/>
  <c r="H68" i="9" s="1"/>
  <c r="G65" i="9"/>
  <c r="H65" i="9" s="1"/>
  <c r="G64" i="9"/>
  <c r="H64" i="9" s="1"/>
  <c r="G69" i="9"/>
  <c r="H69" i="9" s="1"/>
  <c r="G61" i="9"/>
  <c r="H61" i="9" s="1"/>
  <c r="F118" i="10"/>
  <c r="G122" i="10"/>
  <c r="F118" i="9"/>
  <c r="G122" i="9"/>
  <c r="G139" i="9"/>
  <c r="F135" i="9"/>
  <c r="F135" i="10"/>
  <c r="H72" i="10" l="1"/>
  <c r="H74" i="10"/>
  <c r="H72" i="9"/>
  <c r="H74" i="9"/>
  <c r="G76" i="10"/>
  <c r="H73" i="10"/>
  <c r="G76" i="9" l="1"/>
  <c r="H73" i="9"/>
</calcChain>
</file>

<file path=xl/sharedStrings.xml><?xml version="1.0" encoding="utf-8"?>
<sst xmlns="http://schemas.openxmlformats.org/spreadsheetml/2006/main" count="493" uniqueCount="131">
  <si>
    <t>HPLC System Suitability Report</t>
  </si>
  <si>
    <t>Analysis Data</t>
  </si>
  <si>
    <t>Assay</t>
  </si>
  <si>
    <t>Sample(s)</t>
  </si>
  <si>
    <t>Reference Substance:</t>
  </si>
  <si>
    <t>ANZAVIR-R TABLETS 300 mg/ 100 mg</t>
  </si>
  <si>
    <t>% age Purity:</t>
  </si>
  <si>
    <t>NDQB201801298</t>
  </si>
  <si>
    <t>Weight (mg):</t>
  </si>
  <si>
    <t>ATAZANAVIR, RITONAVIR</t>
  </si>
  <si>
    <t>Standard Conc (mg/mL):</t>
  </si>
  <si>
    <t>Each film coated tablet contains: Atanazavir (as sulfate) equivalent to Atazanavir 300 mg and Ritonavir 100 mg.</t>
  </si>
  <si>
    <t>2018-01-24 08:27:24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</si>
  <si>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</si>
  <si>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</si>
  <si>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</si>
  <si>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</si>
  <si>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</si>
  <si>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</si>
  <si>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</si>
  <si>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</si>
  <si>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</si>
  <si>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</si>
  <si>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</si>
  <si>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</si>
  <si>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</si>
  <si>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</si>
  <si>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</si>
  <si>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</si>
  <si>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</si>
  <si>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</si>
  <si>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</si>
  <si>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</si>
  <si>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</si>
  <si>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</si>
  <si>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</si>
  <si>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</si>
  <si>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</si>
  <si>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</si>
  <si>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</si>
  <si>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</si>
  <si>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</si>
  <si>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</si>
  <si>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</si>
  <si>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</si>
  <si>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</si>
  <si>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</si>
  <si>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</si>
  <si>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</si>
  <si>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</si>
  <si>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</si>
  <si>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</si>
  <si>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</si>
  <si>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</si>
  <si>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</si>
  <si>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</si>
  <si>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</si>
  <si>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t>Injection</t>
  </si>
  <si>
    <t>Response:</t>
  </si>
  <si>
    <t>Normalised Response:</t>
  </si>
  <si>
    <t>Average: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</si>
  <si>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</si>
  <si>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</si>
  <si>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</si>
  <si>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</si>
  <si>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</si>
  <si>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</si>
  <si>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</si>
  <si>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</si>
  <si>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</si>
  <si>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</si>
  <si>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</si>
  <si>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</si>
  <si>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Powder Weight (mg)</t>
  </si>
  <si>
    <t>Determined Amt (mg)</t>
  </si>
  <si>
    <t>% Assay</t>
  </si>
  <si>
    <t>Assay Smp A</t>
  </si>
  <si>
    <t>Assay Smp B</t>
  </si>
  <si>
    <t>Sample Dilution Factor</t>
  </si>
  <si>
    <t>Assay Smp C</t>
  </si>
  <si>
    <t>Desired Sample Weight (mg):</t>
  </si>
  <si>
    <t>Amt of RS (mg):</t>
  </si>
  <si>
    <t>Amt of RS as free base (mg):</t>
  </si>
  <si>
    <t>Medium Volume (mL):</t>
  </si>
  <si>
    <t>Amt Released (mg):</t>
  </si>
  <si>
    <t>%age Released:</t>
  </si>
  <si>
    <t xml:space="preserve">The amount  of </t>
  </si>
  <si>
    <t xml:space="preserve">dissolved as a percentage of the stated  label claim is </t>
  </si>
  <si>
    <t>RITONAVIR</t>
  </si>
  <si>
    <t>2018-01-24 08:23:58</t>
  </si>
  <si>
    <t>RESOLUTION</t>
  </si>
  <si>
    <t>The resolution of peaks at 210nm of Ritonavir and Atazanavir NLT 2.5</t>
  </si>
  <si>
    <t>ATAZANAVIR</t>
  </si>
  <si>
    <t>A48-3</t>
  </si>
  <si>
    <t>R TABLETS 300MG/100MG</t>
  </si>
  <si>
    <t>25-01-2018</t>
  </si>
  <si>
    <t>20-02-2018</t>
  </si>
  <si>
    <t xml:space="preserve">Atazanavir </t>
  </si>
  <si>
    <t>Initial    Standard dilution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</si>
  <si>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</si>
  <si>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</si>
  <si>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</si>
  <si>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</si>
  <si>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</si>
  <si>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</si>
  <si>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</si>
  <si>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</si>
  <si>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</si>
  <si>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Desired Concetration (mg/mL):</t>
  </si>
  <si>
    <t>Initial    Sample dilution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</si>
  <si>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</si>
  <si>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</si>
  <si>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</si>
  <si>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</si>
  <si>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</si>
  <si>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</si>
  <si>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</si>
  <si>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</si>
  <si>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Comment</t>
  </si>
  <si>
    <t xml:space="preserve">I the sample as a percentage of the stated  label claim is </t>
  </si>
  <si>
    <t>Analysis Data:</t>
  </si>
  <si>
    <t>Determination of Active Ingredient Dissolved after</t>
  </si>
  <si>
    <t>A48-1</t>
  </si>
  <si>
    <t>tablet No.</t>
  </si>
  <si>
    <t>90MINS</t>
  </si>
  <si>
    <t>Ritonavir</t>
  </si>
  <si>
    <t>R14-3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</si>
  <si>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</si>
  <si>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</si>
  <si>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</si>
  <si>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R14-5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</si>
</sst>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</numFmts>
  <fonts count="31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0"/>
      <color theme="0" tint="-0.249977111117893"/>
      <name val="Book Antiqua"/>
      <family val="1"/>
    </font>
    <font>
      <sz val="10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i/>
      <sz val="12"/>
      <color rgb="FF000000"/>
      <name val="Book Antiqua"/>
    </font>
    <font>
      <b/>
      <u/>
      <sz val="14"/>
      <color rgb="FF000000"/>
      <name val="Book Antiqua"/>
    </font>
    <font>
      <b/>
      <sz val="14"/>
      <color rgb="FF000000"/>
      <name val="Book Antiqua"/>
    </font>
    <font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i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vertAlign val="superscript"/>
      <sz val="14"/>
      <color rgb="FF000000"/>
      <name val="Book Antiqua"/>
    </font>
    <font>
      <b/>
      <u/>
      <sz val="20"/>
      <color rgb="FF000000"/>
      <name val="Book Antiqua"/>
    </font>
    <font>
      <sz val="11"/>
      <color rgb="FF000000"/>
      <name val="Book Antiqua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6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9" fillId="2" borderId="0"/>
    <xf numFmtId="0" fontId="14" fillId="2" borderId="0"/>
    <xf numFmtId="0" fontId="14" fillId="2" borderId="0"/>
    <xf numFmtId="0" fontId="14" fillId="2" borderId="0"/>
  </cellStyleXfs>
  <cellXfs count="355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6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right"/>
    </xf>
    <xf numFmtId="0" fontId="5" fillId="2" borderId="9" xfId="0" applyFont="1" applyFill="1" applyBorder="1"/>
    <xf numFmtId="0" fontId="5" fillId="2" borderId="0" xfId="0" applyFont="1" applyFill="1" applyAlignment="1">
      <alignment horizontal="center"/>
    </xf>
    <xf numFmtId="10" fontId="5" fillId="2" borderId="9" xfId="0" applyNumberFormat="1" applyFont="1" applyFill="1" applyBorder="1"/>
    <xf numFmtId="0" fontId="7" fillId="2" borderId="0" xfId="0" applyFont="1" applyFill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0" xfId="0" applyFont="1" applyFill="1"/>
    <xf numFmtId="0" fontId="5" fillId="2" borderId="7" xfId="0" applyFont="1" applyFill="1" applyBorder="1"/>
    <xf numFmtId="0" fontId="4" fillId="2" borderId="11" xfId="0" applyFont="1" applyFill="1" applyBorder="1"/>
    <xf numFmtId="0" fontId="4" fillId="2" borderId="0" xfId="0" applyFont="1" applyFill="1"/>
    <xf numFmtId="0" fontId="5" fillId="2" borderId="11" xfId="0" applyFont="1" applyFill="1" applyBorder="1"/>
    <xf numFmtId="167" fontId="5" fillId="2" borderId="0" xfId="0" applyNumberFormat="1" applyFont="1" applyFill="1"/>
    <xf numFmtId="166" fontId="5" fillId="2" borderId="0" xfId="0" applyNumberFormat="1" applyFont="1" applyFill="1" applyAlignment="1">
      <alignment horizontal="center"/>
    </xf>
    <xf numFmtId="2" fontId="4" fillId="2" borderId="0" xfId="0" applyNumberFormat="1" applyFont="1" applyFill="1"/>
    <xf numFmtId="10" fontId="2" fillId="2" borderId="0" xfId="0" applyNumberFormat="1" applyFont="1" applyFill="1"/>
    <xf numFmtId="2" fontId="4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right" vertical="center"/>
    </xf>
    <xf numFmtId="166" fontId="5" fillId="2" borderId="12" xfId="0" applyNumberFormat="1" applyFont="1" applyFill="1" applyBorder="1" applyAlignment="1">
      <alignment horizontal="center" vertical="center"/>
    </xf>
    <xf numFmtId="164" fontId="4" fillId="2" borderId="12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wrapText="1"/>
    </xf>
    <xf numFmtId="164" fontId="4" fillId="2" borderId="12" xfId="0" applyNumberFormat="1" applyFont="1" applyFill="1" applyBorder="1" applyAlignment="1">
      <alignment horizontal="center" wrapText="1"/>
    </xf>
    <xf numFmtId="10" fontId="5" fillId="2" borderId="13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5" fillId="2" borderId="15" xfId="0" applyNumberFormat="1" applyFont="1" applyFill="1" applyBorder="1" applyAlignment="1">
      <alignment horizontal="center"/>
    </xf>
    <xf numFmtId="0" fontId="3" fillId="2" borderId="0" xfId="0" applyFont="1" applyFill="1"/>
    <xf numFmtId="0" fontId="8" fillId="2" borderId="0" xfId="0" applyFont="1" applyFill="1" applyAlignment="1">
      <alignment wrapText="1"/>
    </xf>
    <xf numFmtId="0" fontId="4" fillId="2" borderId="12" xfId="0" applyFont="1" applyFill="1" applyBorder="1" applyAlignment="1">
      <alignment horizontal="center" vertical="center"/>
    </xf>
    <xf numFmtId="165" fontId="4" fillId="2" borderId="16" xfId="0" applyNumberFormat="1" applyFont="1" applyFill="1" applyBorder="1" applyAlignment="1">
      <alignment horizontal="center"/>
    </xf>
    <xf numFmtId="165" fontId="4" fillId="2" borderId="17" xfId="0" applyNumberFormat="1" applyFont="1" applyFill="1" applyBorder="1" applyAlignment="1">
      <alignment horizontal="center"/>
    </xf>
    <xf numFmtId="2" fontId="5" fillId="3" borderId="14" xfId="0" applyNumberFormat="1" applyFont="1" applyFill="1" applyBorder="1" applyProtection="1">
      <protection locked="0"/>
    </xf>
    <xf numFmtId="2" fontId="5" fillId="3" borderId="15" xfId="0" applyNumberFormat="1" applyFont="1" applyFill="1" applyBorder="1" applyProtection="1">
      <protection locked="0"/>
    </xf>
    <xf numFmtId="167" fontId="5" fillId="2" borderId="0" xfId="0" applyNumberFormat="1" applyFont="1" applyFill="1" applyAlignment="1">
      <alignment horizontal="center"/>
    </xf>
    <xf numFmtId="0" fontId="2" fillId="2" borderId="0" xfId="2" applyFont="1" applyFill="1"/>
    <xf numFmtId="0" fontId="18" fillId="2" borderId="0" xfId="2" applyFont="1" applyFill="1"/>
    <xf numFmtId="0" fontId="14" fillId="2" borderId="0" xfId="2" applyFill="1"/>
    <xf numFmtId="0" fontId="19" fillId="2" borderId="0" xfId="2" applyFont="1" applyFill="1"/>
    <xf numFmtId="0" fontId="19" fillId="3" borderId="0" xfId="2" applyFont="1" applyFill="1" applyAlignment="1" applyProtection="1">
      <alignment horizontal="left"/>
      <protection locked="0"/>
    </xf>
    <xf numFmtId="0" fontId="20" fillId="3" borderId="0" xfId="2" applyFont="1" applyFill="1" applyAlignment="1" applyProtection="1">
      <alignment horizontal="left"/>
      <protection locked="0"/>
    </xf>
    <xf numFmtId="0" fontId="20" fillId="2" borderId="0" xfId="2" applyFont="1" applyFill="1"/>
    <xf numFmtId="0" fontId="20" fillId="3" borderId="0" xfId="2" applyFont="1" applyFill="1" applyProtection="1">
      <protection locked="0"/>
    </xf>
    <xf numFmtId="168" fontId="20" fillId="3" borderId="0" xfId="2" applyNumberFormat="1" applyFont="1" applyFill="1" applyAlignment="1" applyProtection="1">
      <alignment horizontal="left"/>
      <protection locked="0"/>
    </xf>
    <xf numFmtId="168" fontId="20" fillId="2" borderId="0" xfId="2" applyNumberFormat="1" applyFont="1" applyFill="1" applyAlignment="1">
      <alignment horizontal="left"/>
    </xf>
    <xf numFmtId="0" fontId="18" fillId="2" borderId="0" xfId="2" applyFont="1" applyFill="1" applyAlignment="1">
      <alignment horizontal="left"/>
    </xf>
    <xf numFmtId="0" fontId="19" fillId="2" borderId="0" xfId="2" applyFont="1" applyFill="1" applyAlignment="1">
      <alignment horizontal="right"/>
    </xf>
    <xf numFmtId="0" fontId="22" fillId="3" borderId="0" xfId="2" applyFont="1" applyFill="1" applyAlignment="1" applyProtection="1">
      <alignment horizontal="left"/>
      <protection locked="0"/>
    </xf>
    <xf numFmtId="0" fontId="20" fillId="3" borderId="0" xfId="2" applyFont="1" applyFill="1"/>
    <xf numFmtId="0" fontId="20" fillId="2" borderId="0" xfId="2" applyFont="1" applyFill="1" applyAlignment="1">
      <alignment horizontal="right"/>
    </xf>
    <xf numFmtId="0" fontId="22" fillId="3" borderId="0" xfId="2" applyFont="1" applyFill="1" applyAlignment="1" applyProtection="1">
      <alignment horizontal="center"/>
      <protection locked="0"/>
    </xf>
    <xf numFmtId="0" fontId="4" fillId="2" borderId="0" xfId="2" applyFont="1" applyFill="1"/>
    <xf numFmtId="0" fontId="24" fillId="2" borderId="0" xfId="2" applyFont="1" applyFill="1" applyAlignment="1">
      <alignment vertical="center" wrapText="1"/>
    </xf>
    <xf numFmtId="0" fontId="19" fillId="2" borderId="0" xfId="2" applyFont="1" applyFill="1" applyAlignment="1">
      <alignment horizontal="center"/>
    </xf>
    <xf numFmtId="0" fontId="25" fillId="2" borderId="0" xfId="2" applyFont="1" applyFill="1"/>
    <xf numFmtId="0" fontId="26" fillId="2" borderId="0" xfId="2" applyFont="1" applyFill="1"/>
    <xf numFmtId="2" fontId="22" fillId="3" borderId="0" xfId="2" applyNumberFormat="1" applyFont="1" applyFill="1" applyAlignment="1" applyProtection="1">
      <alignment horizontal="center"/>
      <protection locked="0"/>
    </xf>
    <xf numFmtId="0" fontId="19" fillId="2" borderId="0" xfId="2" applyFont="1" applyFill="1" applyAlignment="1">
      <alignment vertical="center" wrapText="1"/>
    </xf>
    <xf numFmtId="0" fontId="27" fillId="2" borderId="0" xfId="2" applyFont="1" applyFill="1"/>
    <xf numFmtId="2" fontId="19" fillId="2" borderId="0" xfId="2" applyNumberFormat="1" applyFont="1" applyFill="1" applyAlignment="1">
      <alignment horizontal="center"/>
    </xf>
    <xf numFmtId="0" fontId="23" fillId="2" borderId="0" xfId="2" applyFont="1" applyFill="1" applyAlignment="1">
      <alignment horizontal="left" vertical="center" wrapText="1"/>
    </xf>
    <xf numFmtId="169" fontId="19" fillId="2" borderId="0" xfId="2" applyNumberFormat="1" applyFont="1" applyFill="1" applyAlignment="1">
      <alignment horizontal="center"/>
    </xf>
    <xf numFmtId="0" fontId="20" fillId="2" borderId="21" xfId="2" applyFont="1" applyFill="1" applyBorder="1" applyAlignment="1">
      <alignment horizontal="right"/>
    </xf>
    <xf numFmtId="0" fontId="22" fillId="3" borderId="22" xfId="2" applyFont="1" applyFill="1" applyBorder="1" applyAlignment="1" applyProtection="1">
      <alignment horizontal="center"/>
      <protection locked="0"/>
    </xf>
    <xf numFmtId="0" fontId="20" fillId="2" borderId="23" xfId="2" applyFont="1" applyFill="1" applyBorder="1" applyAlignment="1">
      <alignment horizontal="right"/>
    </xf>
    <xf numFmtId="0" fontId="22" fillId="3" borderId="24" xfId="2" applyFont="1" applyFill="1" applyBorder="1" applyAlignment="1" applyProtection="1">
      <alignment horizontal="center"/>
      <protection locked="0"/>
    </xf>
    <xf numFmtId="0" fontId="19" fillId="2" borderId="22" xfId="2" applyFont="1" applyFill="1" applyBorder="1" applyAlignment="1">
      <alignment horizontal="center"/>
    </xf>
    <xf numFmtId="0" fontId="19" fillId="2" borderId="25" xfId="2" applyFont="1" applyFill="1" applyBorder="1" applyAlignment="1">
      <alignment horizontal="center"/>
    </xf>
    <xf numFmtId="0" fontId="19" fillId="2" borderId="26" xfId="2" applyFont="1" applyFill="1" applyBorder="1" applyAlignment="1">
      <alignment horizontal="center"/>
    </xf>
    <xf numFmtId="0" fontId="19" fillId="2" borderId="30" xfId="2" applyFont="1" applyFill="1" applyBorder="1" applyAlignment="1">
      <alignment horizontal="center"/>
    </xf>
    <xf numFmtId="0" fontId="20" fillId="2" borderId="28" xfId="2" applyFont="1" applyFill="1" applyBorder="1" applyAlignment="1">
      <alignment horizontal="center"/>
    </xf>
    <xf numFmtId="0" fontId="22" fillId="3" borderId="29" xfId="2" applyFont="1" applyFill="1" applyBorder="1" applyAlignment="1" applyProtection="1">
      <alignment horizontal="center"/>
      <protection locked="0"/>
    </xf>
    <xf numFmtId="170" fontId="20" fillId="2" borderId="26" xfId="2" applyNumberFormat="1" applyFont="1" applyFill="1" applyBorder="1" applyAlignment="1">
      <alignment horizontal="center"/>
    </xf>
    <xf numFmtId="170" fontId="20" fillId="2" borderId="30" xfId="2" applyNumberFormat="1" applyFont="1" applyFill="1" applyBorder="1" applyAlignment="1">
      <alignment horizontal="center"/>
    </xf>
    <xf numFmtId="0" fontId="20" fillId="2" borderId="24" xfId="2" applyFont="1" applyFill="1" applyBorder="1" applyAlignment="1">
      <alignment horizontal="center"/>
    </xf>
    <xf numFmtId="0" fontId="22" fillId="3" borderId="23" xfId="2" applyFont="1" applyFill="1" applyBorder="1" applyAlignment="1" applyProtection="1">
      <alignment horizontal="center"/>
      <protection locked="0"/>
    </xf>
    <xf numFmtId="170" fontId="20" fillId="2" borderId="31" xfId="2" applyNumberFormat="1" applyFont="1" applyFill="1" applyBorder="1" applyAlignment="1">
      <alignment horizontal="center"/>
    </xf>
    <xf numFmtId="170" fontId="20" fillId="2" borderId="32" xfId="2" applyNumberFormat="1" applyFont="1" applyFill="1" applyBorder="1" applyAlignment="1">
      <alignment horizontal="center"/>
    </xf>
    <xf numFmtId="0" fontId="20" fillId="2" borderId="33" xfId="2" applyFont="1" applyFill="1" applyBorder="1" applyAlignment="1">
      <alignment horizontal="center"/>
    </xf>
    <xf numFmtId="0" fontId="22" fillId="3" borderId="34" xfId="2" applyFont="1" applyFill="1" applyBorder="1" applyAlignment="1" applyProtection="1">
      <alignment horizontal="center"/>
      <protection locked="0"/>
    </xf>
    <xf numFmtId="170" fontId="20" fillId="2" borderId="35" xfId="2" applyNumberFormat="1" applyFont="1" applyFill="1" applyBorder="1" applyAlignment="1">
      <alignment horizontal="center"/>
    </xf>
    <xf numFmtId="170" fontId="20" fillId="2" borderId="36" xfId="2" applyNumberFormat="1" applyFont="1" applyFill="1" applyBorder="1" applyAlignment="1">
      <alignment horizontal="center"/>
    </xf>
    <xf numFmtId="0" fontId="20" fillId="2" borderId="24" xfId="2" applyFont="1" applyFill="1" applyBorder="1" applyAlignment="1">
      <alignment horizontal="right"/>
    </xf>
    <xf numFmtId="1" fontId="19" fillId="6" borderId="52" xfId="2" applyNumberFormat="1" applyFont="1" applyFill="1" applyBorder="1" applyAlignment="1">
      <alignment horizontal="center"/>
    </xf>
    <xf numFmtId="170" fontId="19" fillId="6" borderId="38" xfId="2" applyNumberFormat="1" applyFont="1" applyFill="1" applyBorder="1" applyAlignment="1">
      <alignment horizontal="center"/>
    </xf>
    <xf numFmtId="1" fontId="19" fillId="6" borderId="37" xfId="2" applyNumberFormat="1" applyFont="1" applyFill="1" applyBorder="1" applyAlignment="1">
      <alignment horizontal="center"/>
    </xf>
    <xf numFmtId="170" fontId="19" fillId="6" borderId="39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20" fillId="2" borderId="50" xfId="2" applyFont="1" applyFill="1" applyBorder="1" applyAlignment="1">
      <alignment horizontal="right"/>
    </xf>
    <xf numFmtId="0" fontId="22" fillId="3" borderId="51" xfId="2" applyFont="1" applyFill="1" applyBorder="1" applyAlignment="1" applyProtection="1">
      <alignment horizontal="center"/>
      <protection locked="0"/>
    </xf>
    <xf numFmtId="0" fontId="22" fillId="3" borderId="16" xfId="2" applyFont="1" applyFill="1" applyBorder="1" applyAlignment="1" applyProtection="1">
      <alignment horizontal="center"/>
      <protection locked="0"/>
    </xf>
    <xf numFmtId="0" fontId="20" fillId="2" borderId="25" xfId="2" applyFont="1" applyFill="1" applyBorder="1" applyAlignment="1">
      <alignment horizontal="right"/>
    </xf>
    <xf numFmtId="2" fontId="20" fillId="6" borderId="27" xfId="2" applyNumberFormat="1" applyFont="1" applyFill="1" applyBorder="1" applyAlignment="1">
      <alignment horizontal="center"/>
    </xf>
    <xf numFmtId="0" fontId="20" fillId="2" borderId="0" xfId="2" applyFont="1" applyFill="1" applyAlignment="1">
      <alignment horizontal="center"/>
    </xf>
    <xf numFmtId="2" fontId="20" fillId="6" borderId="41" xfId="2" applyNumberFormat="1" applyFont="1" applyFill="1" applyBorder="1" applyAlignment="1">
      <alignment horizontal="center"/>
    </xf>
    <xf numFmtId="2" fontId="20" fillId="7" borderId="27" xfId="2" applyNumberFormat="1" applyFont="1" applyFill="1" applyBorder="1" applyAlignment="1">
      <alignment horizontal="center"/>
    </xf>
    <xf numFmtId="2" fontId="20" fillId="2" borderId="0" xfId="2" applyNumberFormat="1" applyFont="1" applyFill="1" applyAlignment="1">
      <alignment horizontal="center"/>
    </xf>
    <xf numFmtId="2" fontId="20" fillId="7" borderId="41" xfId="2" applyNumberFormat="1" applyFont="1" applyFill="1" applyBorder="1" applyAlignment="1">
      <alignment horizontal="center"/>
    </xf>
    <xf numFmtId="2" fontId="20" fillId="6" borderId="17" xfId="2" applyNumberFormat="1" applyFont="1" applyFill="1" applyBorder="1" applyAlignment="1">
      <alignment horizontal="center"/>
    </xf>
    <xf numFmtId="0" fontId="22" fillId="3" borderId="27" xfId="2" applyFont="1" applyFill="1" applyBorder="1" applyAlignment="1" applyProtection="1">
      <alignment horizontal="center"/>
      <protection locked="0"/>
    </xf>
    <xf numFmtId="1" fontId="20" fillId="2" borderId="0" xfId="2" applyNumberFormat="1" applyFont="1" applyFill="1" applyAlignment="1">
      <alignment horizontal="center"/>
    </xf>
    <xf numFmtId="0" fontId="20" fillId="2" borderId="52" xfId="2" applyFont="1" applyFill="1" applyBorder="1" applyAlignment="1">
      <alignment horizontal="right"/>
    </xf>
    <xf numFmtId="2" fontId="20" fillId="7" borderId="30" xfId="2" applyNumberFormat="1" applyFont="1" applyFill="1" applyBorder="1" applyAlignment="1">
      <alignment horizontal="center"/>
    </xf>
    <xf numFmtId="170" fontId="20" fillId="2" borderId="0" xfId="2" applyNumberFormat="1" applyFont="1" applyFill="1" applyAlignment="1">
      <alignment horizontal="center"/>
    </xf>
    <xf numFmtId="0" fontId="20" fillId="2" borderId="16" xfId="2" applyFont="1" applyFill="1" applyBorder="1" applyAlignment="1">
      <alignment horizontal="right"/>
    </xf>
    <xf numFmtId="170" fontId="19" fillId="7" borderId="16" xfId="2" applyNumberFormat="1" applyFont="1" applyFill="1" applyBorder="1" applyAlignment="1">
      <alignment horizontal="center"/>
    </xf>
    <xf numFmtId="0" fontId="20" fillId="2" borderId="41" xfId="2" applyFont="1" applyFill="1" applyBorder="1" applyAlignment="1">
      <alignment horizontal="right"/>
    </xf>
    <xf numFmtId="10" fontId="20" fillId="6" borderId="41" xfId="2" applyNumberFormat="1" applyFont="1" applyFill="1" applyBorder="1" applyAlignment="1">
      <alignment horizontal="center"/>
    </xf>
    <xf numFmtId="0" fontId="20" fillId="2" borderId="17" xfId="2" applyFont="1" applyFill="1" applyBorder="1" applyAlignment="1">
      <alignment horizontal="right"/>
    </xf>
    <xf numFmtId="0" fontId="20" fillId="7" borderId="17" xfId="2" applyFont="1" applyFill="1" applyBorder="1" applyAlignment="1">
      <alignment horizontal="center"/>
    </xf>
    <xf numFmtId="0" fontId="19" fillId="2" borderId="0" xfId="2" applyFont="1" applyFill="1" applyAlignment="1">
      <alignment horizontal="left"/>
    </xf>
    <xf numFmtId="0" fontId="20" fillId="2" borderId="0" xfId="2" applyFont="1" applyFill="1" applyAlignment="1">
      <alignment horizontal="left"/>
    </xf>
    <xf numFmtId="166" fontId="19" fillId="2" borderId="0" xfId="2" applyNumberFormat="1" applyFont="1" applyFill="1" applyAlignment="1" applyProtection="1">
      <alignment horizontal="center"/>
      <protection locked="0"/>
    </xf>
    <xf numFmtId="2" fontId="19" fillId="2" borderId="13" xfId="2" applyNumberFormat="1" applyFont="1" applyFill="1" applyBorder="1" applyAlignment="1">
      <alignment horizontal="center"/>
    </xf>
    <xf numFmtId="0" fontId="19" fillId="2" borderId="13" xfId="2" applyFont="1" applyFill="1" applyBorder="1" applyAlignment="1">
      <alignment horizontal="center"/>
    </xf>
    <xf numFmtId="0" fontId="20" fillId="2" borderId="13" xfId="2" applyFont="1" applyFill="1" applyBorder="1" applyAlignment="1">
      <alignment horizontal="center"/>
    </xf>
    <xf numFmtId="0" fontId="22" fillId="3" borderId="21" xfId="2" applyFont="1" applyFill="1" applyBorder="1" applyAlignment="1" applyProtection="1">
      <alignment horizontal="center"/>
      <protection locked="0"/>
    </xf>
    <xf numFmtId="2" fontId="20" fillId="2" borderId="21" xfId="2" applyNumberFormat="1" applyFont="1" applyFill="1" applyBorder="1" applyAlignment="1">
      <alignment horizontal="center"/>
    </xf>
    <xf numFmtId="10" fontId="20" fillId="2" borderId="13" xfId="2" applyNumberFormat="1" applyFont="1" applyFill="1" applyBorder="1" applyAlignment="1">
      <alignment horizontal="center" vertical="center"/>
    </xf>
    <xf numFmtId="0" fontId="20" fillId="2" borderId="14" xfId="2" applyFont="1" applyFill="1" applyBorder="1" applyAlignment="1">
      <alignment horizontal="center"/>
    </xf>
    <xf numFmtId="2" fontId="20" fillId="2" borderId="23" xfId="2" applyNumberFormat="1" applyFont="1" applyFill="1" applyBorder="1" applyAlignment="1">
      <alignment horizontal="center"/>
    </xf>
    <xf numFmtId="10" fontId="20" fillId="2" borderId="14" xfId="2" applyNumberFormat="1" applyFont="1" applyFill="1" applyBorder="1" applyAlignment="1">
      <alignment horizontal="center" vertical="center"/>
    </xf>
    <xf numFmtId="0" fontId="20" fillId="2" borderId="15" xfId="2" applyFont="1" applyFill="1" applyBorder="1" applyAlignment="1">
      <alignment horizontal="center"/>
    </xf>
    <xf numFmtId="0" fontId="22" fillId="3" borderId="42" xfId="2" applyFont="1" applyFill="1" applyBorder="1" applyAlignment="1" applyProtection="1">
      <alignment horizontal="center"/>
      <protection locked="0"/>
    </xf>
    <xf numFmtId="2" fontId="20" fillId="2" borderId="13" xfId="2" applyNumberFormat="1" applyFont="1" applyFill="1" applyBorder="1" applyAlignment="1">
      <alignment horizontal="center"/>
    </xf>
    <xf numFmtId="10" fontId="20" fillId="2" borderId="22" xfId="2" applyNumberFormat="1" applyFont="1" applyFill="1" applyBorder="1" applyAlignment="1">
      <alignment horizontal="center" vertical="center"/>
    </xf>
    <xf numFmtId="2" fontId="20" fillId="2" borderId="14" xfId="2" applyNumberFormat="1" applyFont="1" applyFill="1" applyBorder="1" applyAlignment="1">
      <alignment horizontal="center"/>
    </xf>
    <xf numFmtId="10" fontId="20" fillId="2" borderId="24" xfId="2" applyNumberFormat="1" applyFont="1" applyFill="1" applyBorder="1" applyAlignment="1">
      <alignment horizontal="center" vertical="center"/>
    </xf>
    <xf numFmtId="2" fontId="20" fillId="2" borderId="15" xfId="2" applyNumberFormat="1" applyFont="1" applyFill="1" applyBorder="1" applyAlignment="1">
      <alignment horizontal="center"/>
    </xf>
    <xf numFmtId="10" fontId="20" fillId="2" borderId="43" xfId="2" applyNumberFormat="1" applyFont="1" applyFill="1" applyBorder="1" applyAlignment="1">
      <alignment horizontal="center" vertical="center"/>
    </xf>
    <xf numFmtId="0" fontId="19" fillId="2" borderId="24" xfId="2" applyFont="1" applyFill="1" applyBorder="1" applyAlignment="1">
      <alignment horizontal="center"/>
    </xf>
    <xf numFmtId="0" fontId="20" fillId="2" borderId="42" xfId="2" applyFont="1" applyFill="1" applyBorder="1" applyAlignment="1">
      <alignment horizontal="right"/>
    </xf>
    <xf numFmtId="2" fontId="20" fillId="2" borderId="43" xfId="2" applyNumberFormat="1" applyFont="1" applyFill="1" applyBorder="1" applyAlignment="1">
      <alignment horizontal="center"/>
    </xf>
    <xf numFmtId="10" fontId="20" fillId="2" borderId="15" xfId="2" applyNumberFormat="1" applyFont="1" applyFill="1" applyBorder="1" applyAlignment="1">
      <alignment horizontal="center" vertical="center"/>
    </xf>
    <xf numFmtId="0" fontId="20" fillId="2" borderId="44" xfId="2" applyFont="1" applyFill="1" applyBorder="1" applyAlignment="1">
      <alignment horizontal="right"/>
    </xf>
    <xf numFmtId="10" fontId="22" fillId="7" borderId="33" xfId="2" applyNumberFormat="1" applyFont="1" applyFill="1" applyBorder="1" applyAlignment="1">
      <alignment horizontal="center"/>
    </xf>
    <xf numFmtId="10" fontId="22" fillId="6" borderId="53" xfId="2" applyNumberFormat="1" applyFont="1" applyFill="1" applyBorder="1" applyAlignment="1">
      <alignment horizontal="center"/>
    </xf>
    <xf numFmtId="0" fontId="22" fillId="7" borderId="45" xfId="2" applyFont="1" applyFill="1" applyBorder="1" applyAlignment="1">
      <alignment horizontal="center"/>
    </xf>
    <xf numFmtId="165" fontId="19" fillId="2" borderId="0" xfId="2" applyNumberFormat="1" applyFont="1" applyFill="1" applyAlignment="1">
      <alignment horizontal="center"/>
    </xf>
    <xf numFmtId="0" fontId="29" fillId="3" borderId="0" xfId="2" applyFont="1" applyFill="1" applyAlignment="1" applyProtection="1">
      <alignment horizontal="center"/>
      <protection locked="0"/>
    </xf>
    <xf numFmtId="0" fontId="19" fillId="2" borderId="46" xfId="2" applyFont="1" applyFill="1" applyBorder="1" applyAlignment="1">
      <alignment horizontal="center"/>
    </xf>
    <xf numFmtId="0" fontId="19" fillId="2" borderId="40" xfId="2" applyFont="1" applyFill="1" applyBorder="1" applyAlignment="1">
      <alignment horizontal="center"/>
    </xf>
    <xf numFmtId="0" fontId="19" fillId="2" borderId="10" xfId="2" applyFont="1" applyFill="1" applyBorder="1" applyAlignment="1">
      <alignment horizontal="center"/>
    </xf>
    <xf numFmtId="0" fontId="20" fillId="2" borderId="47" xfId="2" applyFont="1" applyFill="1" applyBorder="1" applyAlignment="1">
      <alignment horizontal="center"/>
    </xf>
    <xf numFmtId="0" fontId="20" fillId="2" borderId="7" xfId="2" applyFont="1" applyFill="1" applyBorder="1" applyAlignment="1">
      <alignment horizontal="center"/>
    </xf>
    <xf numFmtId="170" fontId="22" fillId="3" borderId="34" xfId="2" applyNumberFormat="1" applyFont="1" applyFill="1" applyBorder="1" applyAlignment="1" applyProtection="1">
      <alignment horizontal="center"/>
      <protection locked="0"/>
    </xf>
    <xf numFmtId="1" fontId="19" fillId="6" borderId="48" xfId="2" applyNumberFormat="1" applyFont="1" applyFill="1" applyBorder="1" applyAlignment="1">
      <alignment horizontal="center"/>
    </xf>
    <xf numFmtId="1" fontId="19" fillId="6" borderId="49" xfId="2" applyNumberFormat="1" applyFont="1" applyFill="1" applyBorder="1" applyAlignment="1">
      <alignment horizontal="center"/>
    </xf>
    <xf numFmtId="1" fontId="19" fillId="6" borderId="15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9" fillId="2" borderId="0" xfId="2" applyFont="1" applyFill="1" applyAlignment="1">
      <alignment horizontal="center" wrapText="1"/>
    </xf>
    <xf numFmtId="10" fontId="20" fillId="2" borderId="0" xfId="2" applyNumberFormat="1" applyFont="1" applyFill="1" applyAlignment="1">
      <alignment horizontal="center"/>
    </xf>
    <xf numFmtId="10" fontId="19" fillId="6" borderId="41" xfId="2" applyNumberFormat="1" applyFont="1" applyFill="1" applyBorder="1" applyAlignment="1">
      <alignment horizontal="center"/>
    </xf>
    <xf numFmtId="0" fontId="19" fillId="7" borderId="17" xfId="2" applyFont="1" applyFill="1" applyBorder="1" applyAlignment="1">
      <alignment horizontal="center"/>
    </xf>
    <xf numFmtId="0" fontId="19" fillId="2" borderId="59" xfId="2" applyFont="1" applyFill="1" applyBorder="1" applyAlignment="1">
      <alignment horizontal="center"/>
    </xf>
    <xf numFmtId="0" fontId="19" fillId="2" borderId="60" xfId="2" applyFont="1" applyFill="1" applyBorder="1"/>
    <xf numFmtId="0" fontId="19" fillId="2" borderId="22" xfId="2" applyFont="1" applyFill="1" applyBorder="1" applyAlignment="1">
      <alignment horizontal="center" wrapText="1"/>
    </xf>
    <xf numFmtId="0" fontId="20" fillId="2" borderId="23" xfId="2" applyFont="1" applyFill="1" applyBorder="1" applyAlignment="1">
      <alignment horizontal="center"/>
    </xf>
    <xf numFmtId="1" fontId="22" fillId="3" borderId="31" xfId="2" applyNumberFormat="1" applyFont="1" applyFill="1" applyBorder="1" applyAlignment="1" applyProtection="1">
      <alignment horizontal="center"/>
      <protection locked="0"/>
    </xf>
    <xf numFmtId="2" fontId="20" fillId="2" borderId="26" xfId="2" applyNumberFormat="1" applyFont="1" applyFill="1" applyBorder="1" applyAlignment="1">
      <alignment horizontal="center"/>
    </xf>
    <xf numFmtId="10" fontId="20" fillId="2" borderId="30" xfId="2" applyNumberFormat="1" applyFont="1" applyFill="1" applyBorder="1" applyAlignment="1">
      <alignment horizontal="center"/>
    </xf>
    <xf numFmtId="2" fontId="20" fillId="2" borderId="31" xfId="2" applyNumberFormat="1" applyFont="1" applyFill="1" applyBorder="1" applyAlignment="1">
      <alignment horizontal="center"/>
    </xf>
    <xf numFmtId="10" fontId="20" fillId="2" borderId="32" xfId="2" applyNumberFormat="1" applyFont="1" applyFill="1" applyBorder="1" applyAlignment="1">
      <alignment horizontal="center"/>
    </xf>
    <xf numFmtId="0" fontId="20" fillId="2" borderId="34" xfId="2" applyFont="1" applyFill="1" applyBorder="1" applyAlignment="1">
      <alignment horizontal="center"/>
    </xf>
    <xf numFmtId="1" fontId="22" fillId="3" borderId="35" xfId="2" applyNumberFormat="1" applyFont="1" applyFill="1" applyBorder="1" applyAlignment="1" applyProtection="1">
      <alignment horizontal="center"/>
      <protection locked="0"/>
    </xf>
    <xf numFmtId="2" fontId="20" fillId="2" borderId="35" xfId="2" applyNumberFormat="1" applyFont="1" applyFill="1" applyBorder="1" applyAlignment="1">
      <alignment horizontal="center"/>
    </xf>
    <xf numFmtId="10" fontId="20" fillId="2" borderId="36" xfId="2" applyNumberFormat="1" applyFont="1" applyFill="1" applyBorder="1" applyAlignment="1">
      <alignment horizontal="center"/>
    </xf>
    <xf numFmtId="2" fontId="20" fillId="2" borderId="24" xfId="2" applyNumberFormat="1" applyFont="1" applyFill="1" applyBorder="1" applyAlignment="1">
      <alignment horizontal="center"/>
    </xf>
    <xf numFmtId="170" fontId="19" fillId="2" borderId="0" xfId="2" applyNumberFormat="1" applyFont="1" applyFill="1" applyAlignment="1">
      <alignment horizontal="center"/>
    </xf>
    <xf numFmtId="170" fontId="20" fillId="2" borderId="2" xfId="2" applyNumberFormat="1" applyFont="1" applyFill="1" applyBorder="1" applyAlignment="1">
      <alignment horizontal="right"/>
    </xf>
    <xf numFmtId="10" fontId="19" fillId="7" borderId="27" xfId="2" applyNumberFormat="1" applyFont="1" applyFill="1" applyBorder="1" applyAlignment="1">
      <alignment horizontal="center"/>
    </xf>
    <xf numFmtId="0" fontId="20" fillId="2" borderId="23" xfId="2" applyFont="1" applyFill="1" applyBorder="1"/>
    <xf numFmtId="0" fontId="20" fillId="2" borderId="6" xfId="2" applyFont="1" applyFill="1" applyBorder="1"/>
    <xf numFmtId="10" fontId="19" fillId="6" borderId="27" xfId="2" applyNumberFormat="1" applyFont="1" applyFill="1" applyBorder="1" applyAlignment="1">
      <alignment horizontal="center"/>
    </xf>
    <xf numFmtId="0" fontId="20" fillId="2" borderId="42" xfId="2" applyFont="1" applyFill="1" applyBorder="1"/>
    <xf numFmtId="0" fontId="20" fillId="2" borderId="61" xfId="2" applyFont="1" applyFill="1" applyBorder="1" applyAlignment="1">
      <alignment horizontal="center"/>
    </xf>
    <xf numFmtId="0" fontId="20" fillId="2" borderId="62" xfId="2" applyFont="1" applyFill="1" applyBorder="1" applyAlignment="1">
      <alignment horizontal="right"/>
    </xf>
    <xf numFmtId="2" fontId="20" fillId="2" borderId="4" xfId="2" applyNumberFormat="1" applyFont="1" applyFill="1" applyBorder="1" applyAlignment="1">
      <alignment horizontal="center"/>
    </xf>
    <xf numFmtId="10" fontId="20" fillId="2" borderId="28" xfId="2" applyNumberFormat="1" applyFont="1" applyFill="1" applyBorder="1" applyAlignment="1">
      <alignment horizontal="center"/>
    </xf>
    <xf numFmtId="2" fontId="20" fillId="2" borderId="3" xfId="2" applyNumberFormat="1" applyFont="1" applyFill="1" applyBorder="1" applyAlignment="1">
      <alignment horizontal="center"/>
    </xf>
    <xf numFmtId="10" fontId="20" fillId="2" borderId="24" xfId="2" applyNumberFormat="1" applyFont="1" applyFill="1" applyBorder="1" applyAlignment="1">
      <alignment horizontal="center"/>
    </xf>
    <xf numFmtId="2" fontId="20" fillId="2" borderId="5" xfId="2" applyNumberFormat="1" applyFont="1" applyFill="1" applyBorder="1" applyAlignment="1">
      <alignment horizontal="center"/>
    </xf>
    <xf numFmtId="10" fontId="20" fillId="2" borderId="33" xfId="2" applyNumberFormat="1" applyFont="1" applyFill="1" applyBorder="1" applyAlignment="1">
      <alignment horizontal="center"/>
    </xf>
    <xf numFmtId="10" fontId="22" fillId="7" borderId="27" xfId="2" applyNumberFormat="1" applyFont="1" applyFill="1" applyBorder="1" applyAlignment="1">
      <alignment horizontal="center"/>
    </xf>
    <xf numFmtId="10" fontId="22" fillId="6" borderId="27" xfId="2" applyNumberFormat="1" applyFont="1" applyFill="1" applyBorder="1" applyAlignment="1">
      <alignment horizontal="center"/>
    </xf>
    <xf numFmtId="0" fontId="22" fillId="7" borderId="17" xfId="2" applyFont="1" applyFill="1" applyBorder="1" applyAlignment="1">
      <alignment horizontal="center"/>
    </xf>
    <xf numFmtId="165" fontId="22" fillId="2" borderId="0" xfId="2" applyNumberFormat="1" applyFont="1" applyFill="1" applyAlignment="1">
      <alignment horizontal="center"/>
    </xf>
    <xf numFmtId="0" fontId="23" fillId="2" borderId="9" xfId="2" applyFont="1" applyFill="1" applyBorder="1" applyAlignment="1">
      <alignment horizontal="left" vertical="center" wrapText="1"/>
    </xf>
    <xf numFmtId="0" fontId="20" fillId="2" borderId="9" xfId="2" applyFont="1" applyFill="1" applyBorder="1"/>
    <xf numFmtId="0" fontId="20" fillId="2" borderId="10" xfId="2" applyFont="1" applyFill="1" applyBorder="1" applyAlignment="1">
      <alignment horizontal="center"/>
    </xf>
    <xf numFmtId="0" fontId="20" fillId="2" borderId="7" xfId="2" applyFont="1" applyFill="1" applyBorder="1" applyProtection="1">
      <protection locked="0"/>
    </xf>
    <xf numFmtId="0" fontId="20" fillId="2" borderId="7" xfId="2" applyFont="1" applyFill="1" applyBorder="1"/>
    <xf numFmtId="0" fontId="19" fillId="2" borderId="11" xfId="2" applyFont="1" applyFill="1" applyBorder="1" applyProtection="1">
      <protection locked="0"/>
    </xf>
    <xf numFmtId="0" fontId="19" fillId="2" borderId="11" xfId="2" applyFont="1" applyFill="1" applyBorder="1"/>
    <xf numFmtId="0" fontId="20" fillId="2" borderId="11" xfId="2" applyFont="1" applyFill="1" applyBorder="1"/>
    <xf numFmtId="0" fontId="1" fillId="2" borderId="0" xfId="3" applyFont="1" applyFill="1"/>
    <xf numFmtId="0" fontId="2" fillId="2" borderId="0" xfId="3" applyFont="1" applyFill="1"/>
    <xf numFmtId="0" fontId="2" fillId="2" borderId="0" xfId="3" applyFont="1" applyFill="1" applyAlignment="1">
      <alignment horizontal="right"/>
    </xf>
    <xf numFmtId="0" fontId="3" fillId="2" borderId="0" xfId="3" applyFont="1" applyFill="1"/>
    <xf numFmtId="0" fontId="3" fillId="2" borderId="0" xfId="3" applyFont="1" applyFill="1" applyAlignment="1">
      <alignment horizontal="left"/>
    </xf>
    <xf numFmtId="0" fontId="4" fillId="2" borderId="0" xfId="3" applyFont="1" applyFill="1" applyAlignment="1">
      <alignment horizontal="left"/>
    </xf>
    <xf numFmtId="0" fontId="4" fillId="2" borderId="0" xfId="3" applyFont="1" applyFill="1" applyAlignment="1">
      <alignment horizontal="center"/>
    </xf>
    <xf numFmtId="0" fontId="5" fillId="2" borderId="0" xfId="3" applyFont="1" applyFill="1"/>
    <xf numFmtId="0" fontId="4" fillId="2" borderId="0" xfId="3" applyFont="1" applyFill="1"/>
    <xf numFmtId="2" fontId="4" fillId="2" borderId="0" xfId="3" applyNumberFormat="1" applyFont="1" applyFill="1" applyAlignment="1">
      <alignment horizontal="center"/>
    </xf>
    <xf numFmtId="164" fontId="4" fillId="2" borderId="0" xfId="3" applyNumberFormat="1" applyFont="1" applyFill="1" applyAlignment="1">
      <alignment horizontal="center"/>
    </xf>
    <xf numFmtId="0" fontId="4" fillId="2" borderId="1" xfId="3" applyFont="1" applyFill="1" applyBorder="1" applyAlignment="1">
      <alignment horizontal="center"/>
    </xf>
    <xf numFmtId="0" fontId="4" fillId="2" borderId="2" xfId="3" applyFont="1" applyFill="1" applyBorder="1" applyAlignment="1">
      <alignment horizontal="center"/>
    </xf>
    <xf numFmtId="0" fontId="10" fillId="2" borderId="55" xfId="3" applyFont="1" applyFill="1" applyBorder="1"/>
    <xf numFmtId="0" fontId="5" fillId="2" borderId="3" xfId="3" applyFont="1" applyFill="1" applyBorder="1" applyAlignment="1">
      <alignment horizontal="center"/>
    </xf>
    <xf numFmtId="0" fontId="30" fillId="3" borderId="3" xfId="3" applyFont="1" applyFill="1" applyBorder="1" applyAlignment="1" applyProtection="1">
      <alignment horizontal="center"/>
      <protection locked="0"/>
    </xf>
    <xf numFmtId="2" fontId="30" fillId="3" borderId="3" xfId="3" applyNumberFormat="1" applyFont="1" applyFill="1" applyBorder="1" applyAlignment="1" applyProtection="1">
      <alignment horizontal="center"/>
      <protection locked="0"/>
    </xf>
    <xf numFmtId="2" fontId="30" fillId="3" borderId="26" xfId="3" applyNumberFormat="1" applyFont="1" applyFill="1" applyBorder="1" applyAlignment="1" applyProtection="1">
      <alignment horizontal="center"/>
      <protection locked="0"/>
    </xf>
    <xf numFmtId="0" fontId="12" fillId="8" borderId="56" xfId="3" applyFont="1" applyFill="1" applyBorder="1" applyAlignment="1">
      <alignment horizontal="center"/>
    </xf>
    <xf numFmtId="2" fontId="30" fillId="3" borderId="31" xfId="3" applyNumberFormat="1" applyFont="1" applyFill="1" applyBorder="1" applyAlignment="1" applyProtection="1">
      <alignment horizontal="center"/>
      <protection locked="0"/>
    </xf>
    <xf numFmtId="0" fontId="12" fillId="8" borderId="57" xfId="3" applyFont="1" applyFill="1" applyBorder="1" applyAlignment="1">
      <alignment horizontal="center"/>
    </xf>
    <xf numFmtId="0" fontId="30" fillId="3" borderId="5" xfId="3" applyFont="1" applyFill="1" applyBorder="1" applyAlignment="1" applyProtection="1">
      <alignment horizontal="center"/>
      <protection locked="0"/>
    </xf>
    <xf numFmtId="2" fontId="30" fillId="3" borderId="5" xfId="3" applyNumberFormat="1" applyFont="1" applyFill="1" applyBorder="1" applyAlignment="1" applyProtection="1">
      <alignment horizontal="center"/>
      <protection locked="0"/>
    </xf>
    <xf numFmtId="2" fontId="30" fillId="3" borderId="35" xfId="3" applyNumberFormat="1" applyFont="1" applyFill="1" applyBorder="1" applyAlignment="1" applyProtection="1">
      <alignment horizontal="center"/>
      <protection locked="0"/>
    </xf>
    <xf numFmtId="0" fontId="5" fillId="2" borderId="4" xfId="3" applyFont="1" applyFill="1" applyBorder="1"/>
    <xf numFmtId="1" fontId="4" fillId="4" borderId="2" xfId="3" applyNumberFormat="1" applyFont="1" applyFill="1" applyBorder="1" applyAlignment="1">
      <alignment horizontal="center"/>
    </xf>
    <xf numFmtId="1" fontId="4" fillId="4" borderId="1" xfId="3" applyNumberFormat="1" applyFont="1" applyFill="1" applyBorder="1" applyAlignment="1">
      <alignment horizontal="center"/>
    </xf>
    <xf numFmtId="2" fontId="4" fillId="4" borderId="1" xfId="3" applyNumberFormat="1" applyFont="1" applyFill="1" applyBorder="1" applyAlignment="1">
      <alignment horizontal="center"/>
    </xf>
    <xf numFmtId="2" fontId="4" fillId="4" borderId="2" xfId="3" applyNumberFormat="1" applyFont="1" applyFill="1" applyBorder="1" applyAlignment="1">
      <alignment horizontal="center"/>
    </xf>
    <xf numFmtId="0" fontId="13" fillId="9" borderId="55" xfId="3" applyFont="1" applyFill="1" applyBorder="1"/>
    <xf numFmtId="0" fontId="5" fillId="2" borderId="3" xfId="3" applyFont="1" applyFill="1" applyBorder="1"/>
    <xf numFmtId="10" fontId="4" fillId="5" borderId="1" xfId="3" applyNumberFormat="1" applyFont="1" applyFill="1" applyBorder="1" applyAlignment="1">
      <alignment horizontal="center"/>
    </xf>
    <xf numFmtId="165" fontId="4" fillId="2" borderId="0" xfId="3" applyNumberFormat="1" applyFont="1" applyFill="1" applyAlignment="1">
      <alignment horizontal="center"/>
    </xf>
    <xf numFmtId="0" fontId="5" fillId="2" borderId="0" xfId="3" applyFont="1" applyFill="1" applyBorder="1"/>
    <xf numFmtId="0" fontId="2" fillId="2" borderId="57" xfId="3" applyFont="1" applyFill="1" applyBorder="1"/>
    <xf numFmtId="0" fontId="5" fillId="2" borderId="5" xfId="3" applyFont="1" applyFill="1" applyBorder="1"/>
    <xf numFmtId="0" fontId="4" fillId="4" borderId="1" xfId="3" applyFont="1" applyFill="1" applyBorder="1" applyAlignment="1">
      <alignment horizontal="center"/>
    </xf>
    <xf numFmtId="0" fontId="4" fillId="2" borderId="7" xfId="3" applyFont="1" applyFill="1" applyBorder="1" applyAlignment="1">
      <alignment horizontal="center"/>
    </xf>
    <xf numFmtId="0" fontId="5" fillId="2" borderId="7" xfId="3" applyFont="1" applyFill="1" applyBorder="1"/>
    <xf numFmtId="0" fontId="2" fillId="2" borderId="58" xfId="3" applyFont="1" applyFill="1" applyBorder="1"/>
    <xf numFmtId="0" fontId="5" fillId="2" borderId="0" xfId="3" applyFont="1" applyFill="1" applyAlignment="1" applyProtection="1">
      <alignment horizontal="left"/>
      <protection locked="0"/>
    </xf>
    <xf numFmtId="0" fontId="5" fillId="2" borderId="0" xfId="3" applyFont="1" applyFill="1" applyProtection="1">
      <protection locked="0"/>
    </xf>
    <xf numFmtId="0" fontId="11" fillId="2" borderId="0" xfId="3" applyFont="1" applyFill="1"/>
    <xf numFmtId="2" fontId="30" fillId="3" borderId="4" xfId="3" applyNumberFormat="1" applyFont="1" applyFill="1" applyBorder="1" applyAlignment="1" applyProtection="1">
      <alignment horizontal="center"/>
      <protection locked="0"/>
    </xf>
    <xf numFmtId="0" fontId="5" fillId="2" borderId="6" xfId="3" applyFont="1" applyFill="1" applyBorder="1"/>
    <xf numFmtId="0" fontId="5" fillId="2" borderId="8" xfId="3" applyFont="1" applyFill="1" applyBorder="1"/>
    <xf numFmtId="0" fontId="2" fillId="2" borderId="9" xfId="3" applyFont="1" applyFill="1" applyBorder="1"/>
    <xf numFmtId="0" fontId="2" fillId="2" borderId="0" xfId="3" applyFont="1" applyFill="1" applyAlignment="1">
      <alignment horizontal="center"/>
    </xf>
    <xf numFmtId="10" fontId="2" fillId="2" borderId="9" xfId="3" applyNumberFormat="1" applyFont="1" applyFill="1" applyBorder="1"/>
    <xf numFmtId="0" fontId="14" fillId="2" borderId="0" xfId="3" applyFill="1"/>
    <xf numFmtId="0" fontId="1" fillId="2" borderId="10" xfId="3" applyFont="1" applyFill="1" applyBorder="1" applyAlignment="1">
      <alignment horizontal="center"/>
    </xf>
    <xf numFmtId="0" fontId="2" fillId="2" borderId="10" xfId="3" applyFont="1" applyFill="1" applyBorder="1" applyAlignment="1">
      <alignment horizontal="center"/>
    </xf>
    <xf numFmtId="0" fontId="1" fillId="2" borderId="0" xfId="3" applyFont="1" applyFill="1" applyAlignment="1">
      <alignment horizontal="right"/>
    </xf>
    <xf numFmtId="0" fontId="2" fillId="2" borderId="7" xfId="3" applyFont="1" applyFill="1" applyBorder="1"/>
    <xf numFmtId="0" fontId="1" fillId="2" borderId="11" xfId="3" applyFont="1" applyFill="1" applyBorder="1"/>
    <xf numFmtId="0" fontId="2" fillId="2" borderId="11" xfId="3" applyFont="1" applyFill="1" applyBorder="1"/>
    <xf numFmtId="0" fontId="1" fillId="2" borderId="0" xfId="4" applyFont="1" applyFill="1"/>
    <xf numFmtId="0" fontId="2" fillId="2" borderId="0" xfId="4" applyFont="1" applyFill="1"/>
    <xf numFmtId="0" fontId="2" fillId="2" borderId="0" xfId="4" applyFont="1" applyFill="1" applyAlignment="1">
      <alignment horizontal="right"/>
    </xf>
    <xf numFmtId="0" fontId="3" fillId="2" borderId="0" xfId="4" applyFont="1" applyFill="1"/>
    <xf numFmtId="0" fontId="3" fillId="2" borderId="0" xfId="4" applyFont="1" applyFill="1" applyAlignment="1">
      <alignment horizontal="left"/>
    </xf>
    <xf numFmtId="0" fontId="4" fillId="2" borderId="0" xfId="4" applyFont="1" applyFill="1" applyAlignment="1">
      <alignment horizontal="left"/>
    </xf>
    <xf numFmtId="0" fontId="4" fillId="2" borderId="0" xfId="4" applyFont="1" applyFill="1" applyAlignment="1">
      <alignment horizontal="center"/>
    </xf>
    <xf numFmtId="0" fontId="5" fillId="2" borderId="0" xfId="4" applyFont="1" applyFill="1"/>
    <xf numFmtId="0" fontId="4" fillId="2" borderId="0" xfId="4" applyFont="1" applyFill="1"/>
    <xf numFmtId="2" fontId="4" fillId="2" borderId="0" xfId="4" applyNumberFormat="1" applyFont="1" applyFill="1" applyAlignment="1">
      <alignment horizontal="center"/>
    </xf>
    <xf numFmtId="164" fontId="4" fillId="2" borderId="0" xfId="4" applyNumberFormat="1" applyFont="1" applyFill="1" applyAlignment="1">
      <alignment horizontal="center"/>
    </xf>
    <xf numFmtId="0" fontId="4" fillId="2" borderId="1" xfId="4" applyFont="1" applyFill="1" applyBorder="1" applyAlignment="1">
      <alignment horizontal="center"/>
    </xf>
    <xf numFmtId="0" fontId="4" fillId="2" borderId="2" xfId="4" applyFont="1" applyFill="1" applyBorder="1" applyAlignment="1">
      <alignment horizontal="center"/>
    </xf>
    <xf numFmtId="0" fontId="5" fillId="2" borderId="3" xfId="4" applyFont="1" applyFill="1" applyBorder="1" applyAlignment="1">
      <alignment horizontal="center"/>
    </xf>
    <xf numFmtId="0" fontId="30" fillId="3" borderId="3" xfId="4" applyFont="1" applyFill="1" applyBorder="1" applyAlignment="1" applyProtection="1">
      <alignment horizontal="center"/>
      <protection locked="0"/>
    </xf>
    <xf numFmtId="2" fontId="30" fillId="3" borderId="3" xfId="4" applyNumberFormat="1" applyFont="1" applyFill="1" applyBorder="1" applyAlignment="1" applyProtection="1">
      <alignment horizontal="center"/>
      <protection locked="0"/>
    </xf>
    <xf numFmtId="2" fontId="30" fillId="3" borderId="4" xfId="4" applyNumberFormat="1" applyFont="1" applyFill="1" applyBorder="1" applyAlignment="1" applyProtection="1">
      <alignment horizontal="center"/>
      <protection locked="0"/>
    </xf>
    <xf numFmtId="0" fontId="30" fillId="3" borderId="5" xfId="4" applyFont="1" applyFill="1" applyBorder="1" applyAlignment="1" applyProtection="1">
      <alignment horizontal="center"/>
      <protection locked="0"/>
    </xf>
    <xf numFmtId="2" fontId="30" fillId="3" borderId="5" xfId="4" applyNumberFormat="1" applyFont="1" applyFill="1" applyBorder="1" applyAlignment="1" applyProtection="1">
      <alignment horizontal="center"/>
      <protection locked="0"/>
    </xf>
    <xf numFmtId="0" fontId="5" fillId="2" borderId="4" xfId="4" applyFont="1" applyFill="1" applyBorder="1"/>
    <xf numFmtId="1" fontId="4" fillId="4" borderId="2" xfId="4" applyNumberFormat="1" applyFont="1" applyFill="1" applyBorder="1" applyAlignment="1">
      <alignment horizontal="center"/>
    </xf>
    <xf numFmtId="1" fontId="4" fillId="4" borderId="1" xfId="4" applyNumberFormat="1" applyFont="1" applyFill="1" applyBorder="1" applyAlignment="1">
      <alignment horizontal="center"/>
    </xf>
    <xf numFmtId="2" fontId="4" fillId="4" borderId="1" xfId="4" applyNumberFormat="1" applyFont="1" applyFill="1" applyBorder="1" applyAlignment="1">
      <alignment horizontal="center"/>
    </xf>
    <xf numFmtId="0" fontId="5" fillId="2" borderId="3" xfId="4" applyFont="1" applyFill="1" applyBorder="1"/>
    <xf numFmtId="10" fontId="4" fillId="5" borderId="1" xfId="4" applyNumberFormat="1" applyFont="1" applyFill="1" applyBorder="1" applyAlignment="1">
      <alignment horizontal="center"/>
    </xf>
    <xf numFmtId="165" fontId="4" fillId="2" borderId="0" xfId="4" applyNumberFormat="1" applyFont="1" applyFill="1" applyAlignment="1">
      <alignment horizontal="center"/>
    </xf>
    <xf numFmtId="0" fontId="5" fillId="2" borderId="6" xfId="4" applyFont="1" applyFill="1" applyBorder="1"/>
    <xf numFmtId="0" fontId="5" fillId="2" borderId="5" xfId="4" applyFont="1" applyFill="1" applyBorder="1"/>
    <xf numFmtId="0" fontId="4" fillId="4" borderId="1" xfId="4" applyFont="1" applyFill="1" applyBorder="1" applyAlignment="1">
      <alignment horizontal="center"/>
    </xf>
    <xf numFmtId="0" fontId="4" fillId="2" borderId="7" xfId="4" applyFont="1" applyFill="1" applyBorder="1" applyAlignment="1">
      <alignment horizontal="center"/>
    </xf>
    <xf numFmtId="0" fontId="5" fillId="2" borderId="7" xfId="4" applyFont="1" applyFill="1" applyBorder="1"/>
    <xf numFmtId="0" fontId="5" fillId="2" borderId="8" xfId="4" applyFont="1" applyFill="1" applyBorder="1"/>
    <xf numFmtId="0" fontId="5" fillId="2" borderId="0" xfId="4" applyFont="1" applyFill="1" applyAlignment="1" applyProtection="1">
      <alignment horizontal="left"/>
      <protection locked="0"/>
    </xf>
    <xf numFmtId="0" fontId="5" fillId="2" borderId="0" xfId="4" applyFont="1" applyFill="1" applyProtection="1">
      <protection locked="0"/>
    </xf>
    <xf numFmtId="0" fontId="2" fillId="2" borderId="9" xfId="4" applyFont="1" applyFill="1" applyBorder="1"/>
    <xf numFmtId="0" fontId="2" fillId="2" borderId="0" xfId="4" applyFont="1" applyFill="1" applyAlignment="1">
      <alignment horizontal="center"/>
    </xf>
    <xf numFmtId="10" fontId="2" fillId="2" borderId="9" xfId="4" applyNumberFormat="1" applyFont="1" applyFill="1" applyBorder="1"/>
    <xf numFmtId="0" fontId="14" fillId="2" borderId="0" xfId="4" applyFill="1"/>
    <xf numFmtId="0" fontId="1" fillId="2" borderId="10" xfId="4" applyFont="1" applyFill="1" applyBorder="1" applyAlignment="1">
      <alignment horizontal="center"/>
    </xf>
    <xf numFmtId="0" fontId="2" fillId="2" borderId="10" xfId="4" applyFont="1" applyFill="1" applyBorder="1" applyAlignment="1">
      <alignment horizontal="center"/>
    </xf>
    <xf numFmtId="0" fontId="1" fillId="2" borderId="0" xfId="4" applyFont="1" applyFill="1" applyAlignment="1">
      <alignment horizontal="right"/>
    </xf>
    <xf numFmtId="0" fontId="2" fillId="2" borderId="7" xfId="4" applyFont="1" applyFill="1" applyBorder="1"/>
    <xf numFmtId="0" fontId="1" fillId="2" borderId="11" xfId="4" applyFont="1" applyFill="1" applyBorder="1"/>
    <xf numFmtId="0" fontId="2" fillId="2" borderId="11" xfId="4" applyFont="1" applyFill="1" applyBorder="1"/>
    <xf numFmtId="0" fontId="18" fillId="2" borderId="0" xfId="3" applyFont="1" applyFill="1" applyAlignment="1">
      <alignment horizontal="center"/>
    </xf>
    <xf numFmtId="0" fontId="1" fillId="2" borderId="10" xfId="3" applyFont="1" applyFill="1" applyBorder="1" applyAlignment="1">
      <alignment horizontal="center"/>
    </xf>
    <xf numFmtId="0" fontId="18" fillId="2" borderId="0" xfId="4" applyFont="1" applyFill="1" applyAlignment="1">
      <alignment horizontal="center"/>
    </xf>
    <xf numFmtId="0" fontId="1" fillId="2" borderId="10" xfId="4" applyFont="1" applyFill="1" applyBorder="1" applyAlignment="1">
      <alignment horizontal="center"/>
    </xf>
    <xf numFmtId="0" fontId="19" fillId="2" borderId="10" xfId="2" applyFont="1" applyFill="1" applyBorder="1" applyAlignment="1">
      <alignment horizontal="center" vertical="center"/>
    </xf>
    <xf numFmtId="0" fontId="19" fillId="2" borderId="0" xfId="2" applyFont="1" applyFill="1" applyAlignment="1">
      <alignment horizontal="center" vertical="center"/>
    </xf>
    <xf numFmtId="0" fontId="19" fillId="2" borderId="9" xfId="2" applyFont="1" applyFill="1" applyBorder="1" applyAlignment="1">
      <alignment horizontal="center" vertical="center"/>
    </xf>
    <xf numFmtId="2" fontId="22" fillId="3" borderId="13" xfId="2" applyNumberFormat="1" applyFont="1" applyFill="1" applyBorder="1" applyAlignment="1" applyProtection="1">
      <alignment horizontal="center" vertical="center"/>
      <protection locked="0"/>
    </xf>
    <xf numFmtId="2" fontId="22" fillId="3" borderId="14" xfId="2" applyNumberFormat="1" applyFont="1" applyFill="1" applyBorder="1" applyAlignment="1" applyProtection="1">
      <alignment horizontal="center" vertical="center"/>
      <protection locked="0"/>
    </xf>
    <xf numFmtId="2" fontId="22" fillId="3" borderId="15" xfId="2" applyNumberFormat="1" applyFont="1" applyFill="1" applyBorder="1" applyAlignment="1" applyProtection="1">
      <alignment horizontal="center" vertical="center"/>
      <protection locked="0"/>
    </xf>
    <xf numFmtId="0" fontId="15" fillId="2" borderId="0" xfId="2" applyFont="1" applyFill="1" applyAlignment="1">
      <alignment horizontal="center" vertical="center"/>
    </xf>
    <xf numFmtId="0" fontId="16" fillId="2" borderId="0" xfId="2" applyFont="1" applyFill="1" applyAlignment="1">
      <alignment horizontal="center" vertical="center"/>
    </xf>
    <xf numFmtId="0" fontId="17" fillId="2" borderId="18" xfId="2" applyFont="1" applyFill="1" applyBorder="1" applyAlignment="1">
      <alignment horizontal="center"/>
    </xf>
    <xf numFmtId="0" fontId="17" fillId="2" borderId="19" xfId="2" applyFont="1" applyFill="1" applyBorder="1" applyAlignment="1">
      <alignment horizontal="center"/>
    </xf>
    <xf numFmtId="0" fontId="17" fillId="2" borderId="20" xfId="2" applyFont="1" applyFill="1" applyBorder="1" applyAlignment="1">
      <alignment horizontal="center"/>
    </xf>
    <xf numFmtId="0" fontId="19" fillId="3" borderId="0" xfId="2" applyFont="1" applyFill="1" applyAlignment="1" applyProtection="1">
      <alignment horizontal="left"/>
      <protection locked="0"/>
    </xf>
    <xf numFmtId="0" fontId="21" fillId="3" borderId="0" xfId="2" applyFont="1" applyFill="1" applyAlignment="1" applyProtection="1">
      <alignment horizontal="left" wrapText="1"/>
      <protection locked="0"/>
    </xf>
    <xf numFmtId="0" fontId="23" fillId="2" borderId="18" xfId="2" applyFont="1" applyFill="1" applyBorder="1" applyAlignment="1">
      <alignment horizontal="justify" vertical="center" wrapText="1"/>
    </xf>
    <xf numFmtId="0" fontId="23" fillId="2" borderId="19" xfId="2" applyFont="1" applyFill="1" applyBorder="1" applyAlignment="1">
      <alignment horizontal="justify" vertical="center" wrapText="1"/>
    </xf>
    <xf numFmtId="0" fontId="23" fillId="2" borderId="20" xfId="2" applyFont="1" applyFill="1" applyBorder="1" applyAlignment="1">
      <alignment horizontal="justify" vertical="center" wrapText="1"/>
    </xf>
    <xf numFmtId="0" fontId="23" fillId="2" borderId="18" xfId="2" applyFont="1" applyFill="1" applyBorder="1" applyAlignment="1">
      <alignment horizontal="left" vertical="center" wrapText="1"/>
    </xf>
    <xf numFmtId="0" fontId="23" fillId="2" borderId="19" xfId="2" applyFont="1" applyFill="1" applyBorder="1" applyAlignment="1">
      <alignment horizontal="left" vertical="center" wrapText="1"/>
    </xf>
    <xf numFmtId="0" fontId="23" fillId="2" borderId="20" xfId="2" applyFont="1" applyFill="1" applyBorder="1" applyAlignment="1">
      <alignment horizontal="left" vertical="center" wrapText="1"/>
    </xf>
    <xf numFmtId="0" fontId="19" fillId="2" borderId="46" xfId="2" applyFont="1" applyFill="1" applyBorder="1" applyAlignment="1">
      <alignment horizontal="center"/>
    </xf>
    <xf numFmtId="0" fontId="19" fillId="2" borderId="40" xfId="2" applyFont="1" applyFill="1" applyBorder="1" applyAlignment="1">
      <alignment horizontal="center"/>
    </xf>
    <xf numFmtId="0" fontId="19" fillId="2" borderId="54" xfId="2" applyFont="1" applyFill="1" applyBorder="1" applyAlignment="1">
      <alignment horizontal="center"/>
    </xf>
    <xf numFmtId="0" fontId="23" fillId="2" borderId="21" xfId="2" applyFont="1" applyFill="1" applyBorder="1" applyAlignment="1">
      <alignment horizontal="left" vertical="center" wrapText="1"/>
    </xf>
    <xf numFmtId="0" fontId="23" fillId="2" borderId="10" xfId="2" applyFont="1" applyFill="1" applyBorder="1" applyAlignment="1">
      <alignment horizontal="left" vertical="center" wrapText="1"/>
    </xf>
    <xf numFmtId="0" fontId="23" fillId="2" borderId="42" xfId="2" applyFont="1" applyFill="1" applyBorder="1" applyAlignment="1">
      <alignment horizontal="left" vertical="center" wrapText="1"/>
    </xf>
    <xf numFmtId="0" fontId="23" fillId="2" borderId="9" xfId="2" applyFont="1" applyFill="1" applyBorder="1" applyAlignment="1">
      <alignment horizontal="left" vertical="center" wrapText="1"/>
    </xf>
    <xf numFmtId="0" fontId="23" fillId="2" borderId="22" xfId="2" applyFont="1" applyFill="1" applyBorder="1" applyAlignment="1">
      <alignment horizontal="left" vertical="center" wrapText="1"/>
    </xf>
    <xf numFmtId="0" fontId="23" fillId="2" borderId="43" xfId="2" applyFont="1" applyFill="1" applyBorder="1" applyAlignment="1">
      <alignment horizontal="left" vertical="center" wrapText="1"/>
    </xf>
    <xf numFmtId="0" fontId="19" fillId="2" borderId="42" xfId="2" applyFont="1" applyFill="1" applyBorder="1" applyAlignment="1">
      <alignment horizontal="center" vertical="center"/>
    </xf>
    <xf numFmtId="0" fontId="23" fillId="2" borderId="21" xfId="2" applyFont="1" applyFill="1" applyBorder="1" applyAlignment="1">
      <alignment horizontal="center" vertical="center" wrapText="1"/>
    </xf>
    <xf numFmtId="0" fontId="23" fillId="2" borderId="22" xfId="2" applyFont="1" applyFill="1" applyBorder="1" applyAlignment="1">
      <alignment horizontal="center" vertical="center" wrapText="1"/>
    </xf>
    <xf numFmtId="0" fontId="23" fillId="2" borderId="42" xfId="2" applyFont="1" applyFill="1" applyBorder="1" applyAlignment="1">
      <alignment horizontal="center" vertical="center" wrapText="1"/>
    </xf>
    <xf numFmtId="0" fontId="23" fillId="2" borderId="43" xfId="2" applyFont="1" applyFill="1" applyBorder="1" applyAlignment="1">
      <alignment horizontal="center" vertical="center" wrapText="1"/>
    </xf>
    <xf numFmtId="0" fontId="19" fillId="2" borderId="0" xfId="2" applyFont="1" applyFill="1" applyAlignment="1">
      <alignment horizontal="center"/>
    </xf>
    <xf numFmtId="0" fontId="19" fillId="2" borderId="10" xfId="2" applyFont="1" applyFill="1" applyBorder="1" applyAlignment="1">
      <alignment horizontal="center"/>
    </xf>
    <xf numFmtId="166" fontId="4" fillId="2" borderId="13" xfId="0" applyNumberFormat="1" applyFont="1" applyFill="1" applyBorder="1" applyAlignment="1">
      <alignment horizontal="center" vertical="center"/>
    </xf>
    <xf numFmtId="166" fontId="4" fillId="2" borderId="15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8" fillId="2" borderId="18" xfId="0" applyFont="1" applyFill="1" applyBorder="1" applyAlignment="1">
      <alignment horizontal="center" wrapText="1"/>
    </xf>
    <xf numFmtId="0" fontId="8" fillId="2" borderId="19" xfId="0" applyFont="1" applyFill="1" applyBorder="1" applyAlignment="1">
      <alignment horizontal="center" wrapText="1"/>
    </xf>
    <xf numFmtId="0" fontId="8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right"/>
    </xf>
  </cellXfs>
  <cellStyles count="5">
    <cellStyle name="Normal" xfId="0" builtinId="0"/>
    <cellStyle name="Normal 2" xfId="1"/>
    <cellStyle name="Normal 2 2" xfId="2"/>
    <cellStyle name="Normal 3" xfId="3"/>
    <cellStyle name="Normal 4" xfId="4"/>
  </cellStyles>
  <dxfs count="21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7" workbookViewId="0">
      <selection activeCell="C51" sqref="C51"/>
    </sheetView>
  </sheetViews>
  <sheetFormatPr defaultRowHeight="13.5" x14ac:dyDescent="0.25"/>
  <cols>
    <col min="1" max="1" width="27.5703125" style="209" customWidth="1"/>
    <col min="2" max="2" width="20.42578125" style="209" customWidth="1"/>
    <col min="3" max="3" width="31.85546875" style="209" customWidth="1"/>
    <col min="4" max="4" width="25.85546875" style="209" customWidth="1"/>
    <col min="5" max="5" width="25.7109375" style="209" customWidth="1"/>
    <col min="6" max="6" width="23.140625" style="209" customWidth="1"/>
    <col min="7" max="7" width="28.42578125" style="209" customWidth="1"/>
    <col min="8" max="8" width="21.5703125" style="209" customWidth="1"/>
    <col min="9" max="9" width="9.140625" style="209" customWidth="1"/>
    <col min="10" max="16384" width="9.140625" style="257"/>
  </cols>
  <sheetData>
    <row r="14" spans="1:6" ht="15" customHeight="1" x14ac:dyDescent="0.3">
      <c r="A14" s="208"/>
      <c r="C14" s="210"/>
      <c r="F14" s="210"/>
    </row>
    <row r="15" spans="1:6" ht="18.75" customHeight="1" x14ac:dyDescent="0.3">
      <c r="A15" s="308" t="s">
        <v>0</v>
      </c>
      <c r="B15" s="308"/>
      <c r="C15" s="308"/>
      <c r="D15" s="308"/>
      <c r="E15" s="308"/>
    </row>
    <row r="16" spans="1:6" ht="16.5" customHeight="1" x14ac:dyDescent="0.3">
      <c r="A16" s="211" t="s">
        <v>1</v>
      </c>
      <c r="B16" s="212" t="s">
        <v>2</v>
      </c>
    </row>
    <row r="17" spans="1:6" ht="16.5" customHeight="1" x14ac:dyDescent="0.3">
      <c r="A17" s="213" t="s">
        <v>3</v>
      </c>
      <c r="B17" s="213" t="s">
        <v>5</v>
      </c>
      <c r="D17" s="214"/>
      <c r="E17" s="215"/>
    </row>
    <row r="18" spans="1:6" ht="16.5" customHeight="1" x14ac:dyDescent="0.3">
      <c r="A18" s="216" t="s">
        <v>4</v>
      </c>
      <c r="B18" s="209" t="s">
        <v>88</v>
      </c>
      <c r="C18" s="215"/>
      <c r="D18" s="215"/>
      <c r="E18" s="215"/>
    </row>
    <row r="19" spans="1:6" ht="16.5" customHeight="1" x14ac:dyDescent="0.3">
      <c r="A19" s="216" t="s">
        <v>6</v>
      </c>
      <c r="B19" s="217">
        <v>99.3</v>
      </c>
      <c r="C19" s="215"/>
      <c r="D19" s="215"/>
      <c r="E19" s="215"/>
    </row>
    <row r="20" spans="1:6" ht="16.5" customHeight="1" x14ac:dyDescent="0.3">
      <c r="A20" s="213" t="s">
        <v>8</v>
      </c>
      <c r="B20" s="217">
        <v>13.65</v>
      </c>
      <c r="C20" s="215"/>
      <c r="D20" s="215"/>
      <c r="E20" s="215"/>
    </row>
    <row r="21" spans="1:6" ht="16.5" customHeight="1" x14ac:dyDescent="0.3">
      <c r="A21" s="213" t="s">
        <v>10</v>
      </c>
      <c r="B21" s="218">
        <f>B20/20*4/50</f>
        <v>5.4600000000000003E-2</v>
      </c>
      <c r="C21" s="215"/>
      <c r="D21" s="215"/>
      <c r="E21" s="215"/>
    </row>
    <row r="22" spans="1:6" ht="15.75" customHeight="1" thickBot="1" x14ac:dyDescent="0.3">
      <c r="A22" s="215"/>
      <c r="B22" s="215" t="s">
        <v>89</v>
      </c>
      <c r="C22" s="215"/>
      <c r="D22" s="215"/>
      <c r="E22" s="215"/>
    </row>
    <row r="23" spans="1:6" ht="16.5" customHeight="1" thickBot="1" x14ac:dyDescent="0.35">
      <c r="A23" s="219" t="s">
        <v>13</v>
      </c>
      <c r="B23" s="220" t="s">
        <v>14</v>
      </c>
      <c r="C23" s="219" t="s">
        <v>15</v>
      </c>
      <c r="D23" s="219" t="s">
        <v>16</v>
      </c>
      <c r="E23" s="220" t="s">
        <v>17</v>
      </c>
      <c r="F23" s="221" t="s">
        <v>90</v>
      </c>
    </row>
    <row r="24" spans="1:6" ht="16.5" customHeight="1" x14ac:dyDescent="0.3">
      <c r="A24" s="222">
        <v>1</v>
      </c>
      <c r="B24" s="223">
        <v>1583304</v>
      </c>
      <c r="C24" s="223">
        <v>7588</v>
      </c>
      <c r="D24" s="224">
        <v>1</v>
      </c>
      <c r="E24" s="225">
        <v>6.6</v>
      </c>
      <c r="F24" s="226">
        <v>3.59</v>
      </c>
    </row>
    <row r="25" spans="1:6" ht="16.5" customHeight="1" x14ac:dyDescent="0.3">
      <c r="A25" s="222">
        <v>2</v>
      </c>
      <c r="B25" s="223">
        <v>1583921</v>
      </c>
      <c r="C25" s="223">
        <v>7576</v>
      </c>
      <c r="D25" s="224">
        <v>1</v>
      </c>
      <c r="E25" s="227">
        <v>6.6</v>
      </c>
      <c r="F25" s="228">
        <v>3.59</v>
      </c>
    </row>
    <row r="26" spans="1:6" ht="16.5" customHeight="1" x14ac:dyDescent="0.3">
      <c r="A26" s="222">
        <v>3</v>
      </c>
      <c r="B26" s="223">
        <v>1585283</v>
      </c>
      <c r="C26" s="223">
        <v>7581</v>
      </c>
      <c r="D26" s="224">
        <v>1.02</v>
      </c>
      <c r="E26" s="227">
        <v>6.61</v>
      </c>
      <c r="F26" s="228">
        <v>3.59</v>
      </c>
    </row>
    <row r="27" spans="1:6" ht="16.5" customHeight="1" x14ac:dyDescent="0.3">
      <c r="A27" s="222">
        <v>4</v>
      </c>
      <c r="B27" s="223">
        <v>1586482</v>
      </c>
      <c r="C27" s="223">
        <v>7587</v>
      </c>
      <c r="D27" s="224">
        <v>1.01</v>
      </c>
      <c r="E27" s="227">
        <v>6.61</v>
      </c>
      <c r="F27" s="228">
        <v>3.59</v>
      </c>
    </row>
    <row r="28" spans="1:6" ht="16.5" customHeight="1" x14ac:dyDescent="0.3">
      <c r="A28" s="222">
        <v>5</v>
      </c>
      <c r="B28" s="223">
        <v>1587618</v>
      </c>
      <c r="C28" s="223">
        <v>7612</v>
      </c>
      <c r="D28" s="224">
        <v>1.01</v>
      </c>
      <c r="E28" s="227">
        <v>6.61</v>
      </c>
      <c r="F28" s="228">
        <v>3.59</v>
      </c>
    </row>
    <row r="29" spans="1:6" ht="16.5" customHeight="1" thickBot="1" x14ac:dyDescent="0.35">
      <c r="A29" s="222">
        <v>6</v>
      </c>
      <c r="B29" s="229">
        <v>1587043</v>
      </c>
      <c r="C29" s="229">
        <v>7583</v>
      </c>
      <c r="D29" s="230">
        <v>0.99</v>
      </c>
      <c r="E29" s="231">
        <v>6.62</v>
      </c>
      <c r="F29" s="228">
        <v>3.58</v>
      </c>
    </row>
    <row r="30" spans="1:6" ht="16.5" customHeight="1" thickBot="1" x14ac:dyDescent="0.35">
      <c r="A30" s="232" t="s">
        <v>18</v>
      </c>
      <c r="B30" s="233">
        <f>AVERAGE(B24:B29)</f>
        <v>1585608.5</v>
      </c>
      <c r="C30" s="234">
        <f>AVERAGE(C24:C29)</f>
        <v>7587.833333333333</v>
      </c>
      <c r="D30" s="235">
        <f>AVERAGE(D24:D29)</f>
        <v>1.0050000000000001</v>
      </c>
      <c r="E30" s="236">
        <f>AVERAGE(E24:E29)</f>
        <v>6.6083333333333334</v>
      </c>
      <c r="F30" s="237"/>
    </row>
    <row r="31" spans="1:6" ht="16.5" customHeight="1" x14ac:dyDescent="0.3">
      <c r="A31" s="238" t="s">
        <v>19</v>
      </c>
      <c r="B31" s="239">
        <f>(STDEV(B24:B29)/B30)</f>
        <v>1.0968342838310304E-3</v>
      </c>
      <c r="C31" s="240"/>
      <c r="D31" s="240"/>
      <c r="E31" s="241"/>
      <c r="F31" s="242"/>
    </row>
    <row r="32" spans="1:6" s="209" customFormat="1" ht="16.5" customHeight="1" thickBot="1" x14ac:dyDescent="0.35">
      <c r="A32" s="243" t="s">
        <v>20</v>
      </c>
      <c r="B32" s="244">
        <f>COUNT(B24:B29)</f>
        <v>6</v>
      </c>
      <c r="C32" s="245"/>
      <c r="D32" s="246"/>
      <c r="E32" s="246"/>
      <c r="F32" s="247"/>
    </row>
    <row r="33" spans="1:5" s="209" customFormat="1" ht="15.75" customHeight="1" x14ac:dyDescent="0.25">
      <c r="A33" s="215"/>
      <c r="B33" s="215"/>
      <c r="C33" s="215"/>
      <c r="D33" s="215"/>
      <c r="E33" s="215"/>
    </row>
    <row r="34" spans="1:5" s="209" customFormat="1" ht="16.5" customHeight="1" x14ac:dyDescent="0.3">
      <c r="A34" s="216" t="s">
        <v>21</v>
      </c>
      <c r="B34" s="248" t="s">
        <v>127</v>
      </c>
      <c r="C34" s="249"/>
      <c r="D34" s="249"/>
      <c r="E34" s="249"/>
    </row>
    <row r="35" spans="1:5" ht="16.5" customHeight="1" x14ac:dyDescent="0.3">
      <c r="A35" s="216"/>
      <c r="B35" s="248" t="s">
        <v>128</v>
      </c>
      <c r="C35" s="249"/>
      <c r="D35" s="249"/>
      <c r="E35" s="249"/>
    </row>
    <row r="36" spans="1:5" ht="16.5" customHeight="1" x14ac:dyDescent="0.3">
      <c r="A36" s="216"/>
      <c r="B36" s="248" t="s">
        <v>129</v>
      </c>
      <c r="C36" s="249"/>
      <c r="D36" s="249"/>
      <c r="E36" s="249"/>
    </row>
    <row r="37" spans="1:5" ht="15.75" customHeight="1" x14ac:dyDescent="0.25">
      <c r="A37" s="215"/>
      <c r="B37" s="250" t="s">
        <v>91</v>
      </c>
      <c r="C37" s="215"/>
      <c r="D37" s="215"/>
      <c r="E37" s="215"/>
    </row>
    <row r="38" spans="1:5" ht="16.5" customHeight="1" x14ac:dyDescent="0.3">
      <c r="A38" s="211" t="s">
        <v>1</v>
      </c>
      <c r="B38" s="212" t="s">
        <v>22</v>
      </c>
    </row>
    <row r="39" spans="1:5" ht="16.5" customHeight="1" x14ac:dyDescent="0.3">
      <c r="A39" s="216" t="s">
        <v>4</v>
      </c>
      <c r="B39" s="213" t="s">
        <v>88</v>
      </c>
      <c r="C39" s="215"/>
      <c r="D39" s="215"/>
      <c r="E39" s="215"/>
    </row>
    <row r="40" spans="1:5" ht="16.5" customHeight="1" x14ac:dyDescent="0.3">
      <c r="A40" s="216" t="s">
        <v>6</v>
      </c>
      <c r="B40" s="217">
        <v>99.2</v>
      </c>
      <c r="C40" s="215"/>
      <c r="D40" s="215"/>
      <c r="E40" s="215"/>
    </row>
    <row r="41" spans="1:5" ht="16.5" customHeight="1" x14ac:dyDescent="0.3">
      <c r="A41" s="213" t="s">
        <v>8</v>
      </c>
      <c r="B41" s="217">
        <v>10.74</v>
      </c>
      <c r="C41" s="215"/>
      <c r="D41" s="215"/>
      <c r="E41" s="215"/>
    </row>
    <row r="42" spans="1:5" ht="16.5" customHeight="1" x14ac:dyDescent="0.3">
      <c r="A42" s="213" t="s">
        <v>10</v>
      </c>
      <c r="B42" s="218">
        <f>B41/100</f>
        <v>0.1074</v>
      </c>
      <c r="C42" s="215"/>
      <c r="D42" s="215"/>
      <c r="E42" s="215"/>
    </row>
    <row r="43" spans="1:5" ht="15.75" customHeight="1" x14ac:dyDescent="0.25">
      <c r="A43" s="215"/>
      <c r="B43" s="215"/>
      <c r="C43" s="215"/>
      <c r="D43" s="215"/>
      <c r="E43" s="215"/>
    </row>
    <row r="44" spans="1:5" ht="16.5" customHeight="1" x14ac:dyDescent="0.3">
      <c r="A44" s="219" t="s">
        <v>13</v>
      </c>
      <c r="B44" s="220" t="s">
        <v>14</v>
      </c>
      <c r="C44" s="219" t="s">
        <v>15</v>
      </c>
      <c r="D44" s="219" t="s">
        <v>16</v>
      </c>
      <c r="E44" s="219" t="s">
        <v>17</v>
      </c>
    </row>
    <row r="45" spans="1:5" ht="16.5" customHeight="1" x14ac:dyDescent="0.3">
      <c r="A45" s="222">
        <v>1</v>
      </c>
      <c r="B45" s="223">
        <v>1449213</v>
      </c>
      <c r="C45" s="223">
        <v>4928</v>
      </c>
      <c r="D45" s="224">
        <v>1.1100000000000001</v>
      </c>
      <c r="E45" s="251">
        <v>6.08</v>
      </c>
    </row>
    <row r="46" spans="1:5" ht="16.5" customHeight="1" x14ac:dyDescent="0.3">
      <c r="A46" s="222">
        <v>2</v>
      </c>
      <c r="B46" s="223">
        <v>1449726</v>
      </c>
      <c r="C46" s="223">
        <v>4959</v>
      </c>
      <c r="D46" s="224">
        <v>1.0900000000000001</v>
      </c>
      <c r="E46" s="224">
        <v>6.09</v>
      </c>
    </row>
    <row r="47" spans="1:5" ht="16.5" customHeight="1" x14ac:dyDescent="0.3">
      <c r="A47" s="222">
        <v>3</v>
      </c>
      <c r="B47" s="223">
        <v>1451375</v>
      </c>
      <c r="C47" s="223">
        <v>4968</v>
      </c>
      <c r="D47" s="224">
        <v>1.1100000000000001</v>
      </c>
      <c r="E47" s="224">
        <v>6.09</v>
      </c>
    </row>
    <row r="48" spans="1:5" ht="16.5" customHeight="1" x14ac:dyDescent="0.3">
      <c r="A48" s="222">
        <v>4</v>
      </c>
      <c r="B48" s="223">
        <v>1451823</v>
      </c>
      <c r="C48" s="223">
        <v>4983</v>
      </c>
      <c r="D48" s="224">
        <v>1.1100000000000001</v>
      </c>
      <c r="E48" s="224">
        <v>6.09</v>
      </c>
    </row>
    <row r="49" spans="1:7" ht="16.5" customHeight="1" x14ac:dyDescent="0.3">
      <c r="A49" s="222">
        <v>5</v>
      </c>
      <c r="B49" s="223">
        <v>1450159</v>
      </c>
      <c r="C49" s="223">
        <v>5003</v>
      </c>
      <c r="D49" s="224">
        <v>1.08</v>
      </c>
      <c r="E49" s="224">
        <v>6.09</v>
      </c>
    </row>
    <row r="50" spans="1:7" ht="16.5" customHeight="1" x14ac:dyDescent="0.3">
      <c r="A50" s="222">
        <v>6</v>
      </c>
      <c r="B50" s="229">
        <v>1448856</v>
      </c>
      <c r="C50" s="229">
        <v>5022</v>
      </c>
      <c r="D50" s="230">
        <v>1.0900000000000001</v>
      </c>
      <c r="E50" s="230">
        <v>6.09</v>
      </c>
    </row>
    <row r="51" spans="1:7" ht="16.5" customHeight="1" x14ac:dyDescent="0.3">
      <c r="A51" s="232" t="s">
        <v>18</v>
      </c>
      <c r="B51" s="233">
        <f>AVERAGE(B45:B50)</f>
        <v>1450192</v>
      </c>
      <c r="C51" s="234">
        <f>AVERAGE(C45:C50)</f>
        <v>4977.166666666667</v>
      </c>
      <c r="D51" s="235">
        <f>AVERAGE(D45:D50)</f>
        <v>1.0983333333333334</v>
      </c>
      <c r="E51" s="235">
        <f>AVERAGE(E45:E50)</f>
        <v>6.0883333333333338</v>
      </c>
    </row>
    <row r="52" spans="1:7" ht="16.5" customHeight="1" x14ac:dyDescent="0.3">
      <c r="A52" s="238" t="s">
        <v>19</v>
      </c>
      <c r="B52" s="239">
        <f>(STDEV(B45:B50)/B51)</f>
        <v>8.171394060244874E-4</v>
      </c>
      <c r="C52" s="240"/>
      <c r="D52" s="240"/>
      <c r="E52" s="252"/>
    </row>
    <row r="53" spans="1:7" s="209" customFormat="1" ht="16.5" customHeight="1" x14ac:dyDescent="0.3">
      <c r="A53" s="243" t="s">
        <v>20</v>
      </c>
      <c r="B53" s="244">
        <f>COUNT(B45:B50)</f>
        <v>6</v>
      </c>
      <c r="C53" s="245"/>
      <c r="D53" s="246"/>
      <c r="E53" s="253"/>
    </row>
    <row r="54" spans="1:7" s="209" customFormat="1" ht="15.75" customHeight="1" x14ac:dyDescent="0.25">
      <c r="A54" s="215"/>
      <c r="B54" s="215"/>
      <c r="C54" s="215"/>
      <c r="D54" s="215"/>
      <c r="E54" s="215"/>
    </row>
    <row r="55" spans="1:7" s="209" customFormat="1" ht="16.5" customHeight="1" x14ac:dyDescent="0.3">
      <c r="A55" s="216" t="s">
        <v>21</v>
      </c>
      <c r="B55" s="248" t="s">
        <v>127</v>
      </c>
      <c r="C55" s="249"/>
      <c r="D55" s="249"/>
      <c r="E55" s="249"/>
    </row>
    <row r="56" spans="1:7" ht="16.5" customHeight="1" x14ac:dyDescent="0.3">
      <c r="A56" s="216"/>
      <c r="B56" s="248" t="s">
        <v>128</v>
      </c>
      <c r="C56" s="249"/>
      <c r="D56" s="249"/>
      <c r="E56" s="249"/>
    </row>
    <row r="57" spans="1:7" ht="16.5" customHeight="1" x14ac:dyDescent="0.3">
      <c r="A57" s="216"/>
      <c r="B57" s="248" t="s">
        <v>129</v>
      </c>
      <c r="C57" s="249"/>
      <c r="D57" s="249"/>
      <c r="E57" s="249"/>
    </row>
    <row r="58" spans="1:7" ht="14.25" customHeight="1" thickBot="1" x14ac:dyDescent="0.3">
      <c r="A58" s="254"/>
      <c r="B58" s="255"/>
      <c r="D58" s="256"/>
      <c r="F58" s="257"/>
      <c r="G58" s="257"/>
    </row>
    <row r="59" spans="1:7" ht="15" customHeight="1" x14ac:dyDescent="0.3">
      <c r="B59" s="309" t="s">
        <v>23</v>
      </c>
      <c r="C59" s="309"/>
      <c r="E59" s="258" t="s">
        <v>24</v>
      </c>
      <c r="F59" s="259"/>
      <c r="G59" s="258" t="s">
        <v>25</v>
      </c>
    </row>
    <row r="60" spans="1:7" ht="15" customHeight="1" x14ac:dyDescent="0.3">
      <c r="A60" s="260" t="s">
        <v>26</v>
      </c>
      <c r="B60" s="261"/>
      <c r="C60" s="261"/>
      <c r="E60" s="261"/>
      <c r="G60" s="261"/>
    </row>
    <row r="61" spans="1:7" ht="15" customHeight="1" x14ac:dyDescent="0.3">
      <c r="A61" s="260" t="s">
        <v>27</v>
      </c>
      <c r="B61" s="262"/>
      <c r="C61" s="262"/>
      <c r="E61" s="262"/>
      <c r="G61" s="26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6" workbookViewId="0">
      <selection activeCell="C46" sqref="C46"/>
    </sheetView>
  </sheetViews>
  <sheetFormatPr defaultRowHeight="13.5" x14ac:dyDescent="0.25"/>
  <cols>
    <col min="1" max="1" width="27.5703125" style="265" customWidth="1"/>
    <col min="2" max="2" width="20.42578125" style="265" customWidth="1"/>
    <col min="3" max="3" width="31.85546875" style="265" customWidth="1"/>
    <col min="4" max="4" width="25.85546875" style="265" customWidth="1"/>
    <col min="5" max="5" width="25.7109375" style="265" customWidth="1"/>
    <col min="6" max="6" width="23.140625" style="265" customWidth="1"/>
    <col min="7" max="7" width="28.42578125" style="265" customWidth="1"/>
    <col min="8" max="8" width="21.5703125" style="265" customWidth="1"/>
    <col min="9" max="9" width="9.140625" style="265" customWidth="1"/>
    <col min="10" max="16384" width="9.140625" style="301"/>
  </cols>
  <sheetData>
    <row r="14" spans="1:6" ht="15" customHeight="1" x14ac:dyDescent="0.3">
      <c r="A14" s="264"/>
      <c r="C14" s="266"/>
      <c r="F14" s="266"/>
    </row>
    <row r="15" spans="1:6" ht="18.75" customHeight="1" x14ac:dyDescent="0.3">
      <c r="A15" s="310" t="s">
        <v>0</v>
      </c>
      <c r="B15" s="310"/>
      <c r="C15" s="310"/>
      <c r="D15" s="310"/>
      <c r="E15" s="310"/>
    </row>
    <row r="16" spans="1:6" ht="16.5" customHeight="1" x14ac:dyDescent="0.3">
      <c r="A16" s="267" t="s">
        <v>1</v>
      </c>
      <c r="B16" s="268" t="s">
        <v>2</v>
      </c>
    </row>
    <row r="17" spans="1:5" ht="16.5" customHeight="1" x14ac:dyDescent="0.3">
      <c r="A17" s="269" t="s">
        <v>3</v>
      </c>
      <c r="B17" s="269" t="s">
        <v>5</v>
      </c>
      <c r="D17" s="270"/>
      <c r="E17" s="271"/>
    </row>
    <row r="18" spans="1:5" ht="16.5" customHeight="1" x14ac:dyDescent="0.3">
      <c r="A18" s="272" t="s">
        <v>4</v>
      </c>
      <c r="B18" s="265" t="s">
        <v>92</v>
      </c>
      <c r="C18" s="271"/>
      <c r="D18" s="271"/>
      <c r="E18" s="271"/>
    </row>
    <row r="19" spans="1:5" ht="16.5" customHeight="1" x14ac:dyDescent="0.3">
      <c r="A19" s="272" t="s">
        <v>6</v>
      </c>
      <c r="B19" s="273">
        <v>99.6</v>
      </c>
      <c r="C19" s="271"/>
      <c r="D19" s="271"/>
      <c r="E19" s="271"/>
    </row>
    <row r="20" spans="1:5" ht="16.5" customHeight="1" x14ac:dyDescent="0.3">
      <c r="A20" s="269" t="s">
        <v>8</v>
      </c>
      <c r="B20" s="273">
        <v>10.87</v>
      </c>
      <c r="C20" s="271"/>
      <c r="D20" s="271"/>
      <c r="E20" s="271"/>
    </row>
    <row r="21" spans="1:5" ht="16.5" customHeight="1" x14ac:dyDescent="0.3">
      <c r="A21" s="269" t="s">
        <v>10</v>
      </c>
      <c r="B21" s="274">
        <f>B20/10*4/25</f>
        <v>0.17391999999999999</v>
      </c>
      <c r="C21" s="271"/>
      <c r="D21" s="271"/>
      <c r="E21" s="271"/>
    </row>
    <row r="22" spans="1:5" ht="15.75" customHeight="1" x14ac:dyDescent="0.25">
      <c r="A22" s="271"/>
      <c r="B22" s="271" t="s">
        <v>89</v>
      </c>
      <c r="C22" s="271"/>
      <c r="D22" s="271"/>
      <c r="E22" s="271"/>
    </row>
    <row r="23" spans="1:5" ht="16.5" customHeight="1" x14ac:dyDescent="0.3">
      <c r="A23" s="275" t="s">
        <v>13</v>
      </c>
      <c r="B23" s="276" t="s">
        <v>14</v>
      </c>
      <c r="C23" s="275" t="s">
        <v>15</v>
      </c>
      <c r="D23" s="275" t="s">
        <v>16</v>
      </c>
      <c r="E23" s="275" t="s">
        <v>17</v>
      </c>
    </row>
    <row r="24" spans="1:5" ht="16.5" customHeight="1" x14ac:dyDescent="0.3">
      <c r="A24" s="277">
        <v>1</v>
      </c>
      <c r="B24" s="278">
        <v>1331127</v>
      </c>
      <c r="C24" s="278">
        <v>7301</v>
      </c>
      <c r="D24" s="279">
        <v>1</v>
      </c>
      <c r="E24" s="280">
        <v>5.59</v>
      </c>
    </row>
    <row r="25" spans="1:5" ht="16.5" customHeight="1" x14ac:dyDescent="0.3">
      <c r="A25" s="277">
        <v>2</v>
      </c>
      <c r="B25" s="278">
        <v>1330846</v>
      </c>
      <c r="C25" s="278">
        <v>7289</v>
      </c>
      <c r="D25" s="279">
        <v>1.01</v>
      </c>
      <c r="E25" s="279">
        <v>5.59</v>
      </c>
    </row>
    <row r="26" spans="1:5" ht="16.5" customHeight="1" x14ac:dyDescent="0.3">
      <c r="A26" s="277">
        <v>3</v>
      </c>
      <c r="B26" s="278">
        <v>1329122</v>
      </c>
      <c r="C26" s="278">
        <v>7333</v>
      </c>
      <c r="D26" s="279">
        <v>1.03</v>
      </c>
      <c r="E26" s="279">
        <v>5.59</v>
      </c>
    </row>
    <row r="27" spans="1:5" ht="16.5" customHeight="1" x14ac:dyDescent="0.3">
      <c r="A27" s="277">
        <v>4</v>
      </c>
      <c r="B27" s="278">
        <v>1329628</v>
      </c>
      <c r="C27" s="278">
        <v>7342</v>
      </c>
      <c r="D27" s="279">
        <v>1.02</v>
      </c>
      <c r="E27" s="279">
        <v>5.59</v>
      </c>
    </row>
    <row r="28" spans="1:5" ht="16.5" customHeight="1" x14ac:dyDescent="0.3">
      <c r="A28" s="277">
        <v>5</v>
      </c>
      <c r="B28" s="278">
        <v>1330131</v>
      </c>
      <c r="C28" s="278">
        <v>7359</v>
      </c>
      <c r="D28" s="279">
        <v>1.02</v>
      </c>
      <c r="E28" s="279">
        <v>5.6</v>
      </c>
    </row>
    <row r="29" spans="1:5" ht="16.5" customHeight="1" x14ac:dyDescent="0.3">
      <c r="A29" s="277">
        <v>6</v>
      </c>
      <c r="B29" s="281">
        <v>1329673</v>
      </c>
      <c r="C29" s="281">
        <v>7352</v>
      </c>
      <c r="D29" s="282">
        <v>1</v>
      </c>
      <c r="E29" s="282">
        <v>5.61</v>
      </c>
    </row>
    <row r="30" spans="1:5" ht="16.5" customHeight="1" x14ac:dyDescent="0.3">
      <c r="A30" s="283" t="s">
        <v>18</v>
      </c>
      <c r="B30" s="284">
        <f>AVERAGE(B24:B29)</f>
        <v>1330087.8333333333</v>
      </c>
      <c r="C30" s="285">
        <f>AVERAGE(C24:C29)</f>
        <v>7329.333333333333</v>
      </c>
      <c r="D30" s="286">
        <f>AVERAGE(D24:D29)</f>
        <v>1.0133333333333334</v>
      </c>
      <c r="E30" s="286">
        <f>AVERAGE(E24:E29)</f>
        <v>5.5949999999999998</v>
      </c>
    </row>
    <row r="31" spans="1:5" ht="16.5" customHeight="1" x14ac:dyDescent="0.3">
      <c r="A31" s="287" t="s">
        <v>19</v>
      </c>
      <c r="B31" s="288">
        <f>(STDEV(B24:B29)/B30)</f>
        <v>5.7973018154109301E-4</v>
      </c>
      <c r="C31" s="289"/>
      <c r="D31" s="289"/>
      <c r="E31" s="290"/>
    </row>
    <row r="32" spans="1:5" s="265" customFormat="1" ht="16.5" customHeight="1" x14ac:dyDescent="0.3">
      <c r="A32" s="291" t="s">
        <v>20</v>
      </c>
      <c r="B32" s="292">
        <f>COUNT(B24:B29)</f>
        <v>6</v>
      </c>
      <c r="C32" s="293"/>
      <c r="D32" s="294"/>
      <c r="E32" s="295"/>
    </row>
    <row r="33" spans="1:5" s="265" customFormat="1" ht="15.75" customHeight="1" x14ac:dyDescent="0.25">
      <c r="A33" s="271"/>
      <c r="B33" s="271"/>
      <c r="C33" s="271"/>
      <c r="D33" s="271"/>
      <c r="E33" s="271"/>
    </row>
    <row r="34" spans="1:5" s="265" customFormat="1" ht="16.5" customHeight="1" x14ac:dyDescent="0.3">
      <c r="A34" s="272" t="s">
        <v>21</v>
      </c>
      <c r="B34" s="296" t="s">
        <v>127</v>
      </c>
      <c r="C34" s="297"/>
      <c r="D34" s="297"/>
      <c r="E34" s="297"/>
    </row>
    <row r="35" spans="1:5" ht="16.5" customHeight="1" x14ac:dyDescent="0.3">
      <c r="A35" s="272"/>
      <c r="B35" s="296" t="s">
        <v>128</v>
      </c>
      <c r="C35" s="297"/>
      <c r="D35" s="297"/>
      <c r="E35" s="297"/>
    </row>
    <row r="36" spans="1:5" ht="16.5" customHeight="1" x14ac:dyDescent="0.3">
      <c r="A36" s="272"/>
      <c r="B36" s="296" t="s">
        <v>129</v>
      </c>
      <c r="C36" s="297"/>
      <c r="D36" s="297"/>
      <c r="E36" s="297"/>
    </row>
    <row r="37" spans="1:5" ht="15.75" customHeight="1" x14ac:dyDescent="0.25">
      <c r="A37" s="271"/>
      <c r="B37" s="271"/>
      <c r="C37" s="271"/>
      <c r="D37" s="271"/>
      <c r="E37" s="271"/>
    </row>
    <row r="38" spans="1:5" ht="16.5" customHeight="1" x14ac:dyDescent="0.3">
      <c r="A38" s="267" t="s">
        <v>1</v>
      </c>
      <c r="B38" s="268" t="s">
        <v>22</v>
      </c>
    </row>
    <row r="39" spans="1:5" ht="16.5" customHeight="1" x14ac:dyDescent="0.3">
      <c r="A39" s="272" t="s">
        <v>4</v>
      </c>
      <c r="B39" s="269" t="s">
        <v>5</v>
      </c>
      <c r="C39" s="271"/>
      <c r="D39" s="271"/>
      <c r="E39" s="271"/>
    </row>
    <row r="40" spans="1:5" ht="16.5" customHeight="1" x14ac:dyDescent="0.3">
      <c r="A40" s="272" t="s">
        <v>6</v>
      </c>
      <c r="B40" s="273">
        <v>98.78</v>
      </c>
      <c r="C40" s="271"/>
      <c r="D40" s="271"/>
      <c r="E40" s="271"/>
    </row>
    <row r="41" spans="1:5" ht="16.5" customHeight="1" x14ac:dyDescent="0.3">
      <c r="A41" s="269" t="s">
        <v>8</v>
      </c>
      <c r="B41" s="273">
        <v>15.24</v>
      </c>
      <c r="C41" s="271"/>
      <c r="D41" s="271"/>
      <c r="E41" s="271"/>
    </row>
    <row r="42" spans="1:5" ht="16.5" customHeight="1" x14ac:dyDescent="0.3">
      <c r="A42" s="269" t="s">
        <v>10</v>
      </c>
      <c r="B42" s="274">
        <f>B41/50</f>
        <v>0.30480000000000002</v>
      </c>
      <c r="C42" s="271"/>
      <c r="D42" s="271"/>
      <c r="E42" s="271"/>
    </row>
    <row r="43" spans="1:5" ht="15.75" customHeight="1" x14ac:dyDescent="0.25">
      <c r="A43" s="271"/>
      <c r="B43" s="271">
        <v>0.17391999999999999</v>
      </c>
      <c r="C43" s="271"/>
      <c r="D43" s="271"/>
      <c r="E43" s="271"/>
    </row>
    <row r="44" spans="1:5" ht="16.5" customHeight="1" x14ac:dyDescent="0.3">
      <c r="A44" s="275" t="s">
        <v>13</v>
      </c>
      <c r="B44" s="276" t="s">
        <v>14</v>
      </c>
      <c r="C44" s="275" t="s">
        <v>15</v>
      </c>
      <c r="D44" s="275" t="s">
        <v>16</v>
      </c>
      <c r="E44" s="275" t="s">
        <v>17</v>
      </c>
    </row>
    <row r="45" spans="1:5" ht="16.5" customHeight="1" x14ac:dyDescent="0.3">
      <c r="A45" s="277">
        <v>1</v>
      </c>
      <c r="B45" s="278">
        <v>1185778</v>
      </c>
      <c r="C45" s="278">
        <v>4980</v>
      </c>
      <c r="D45" s="279">
        <v>1.1000000000000001</v>
      </c>
      <c r="E45" s="280">
        <v>5.29</v>
      </c>
    </row>
    <row r="46" spans="1:5" ht="16.5" customHeight="1" x14ac:dyDescent="0.3">
      <c r="A46" s="277">
        <v>2</v>
      </c>
      <c r="B46" s="278">
        <v>1183725</v>
      </c>
      <c r="C46" s="278">
        <v>4996</v>
      </c>
      <c r="D46" s="279">
        <v>1.0900000000000001</v>
      </c>
      <c r="E46" s="279">
        <v>5.29</v>
      </c>
    </row>
    <row r="47" spans="1:5" ht="16.5" customHeight="1" x14ac:dyDescent="0.3">
      <c r="A47" s="277">
        <v>3</v>
      </c>
      <c r="B47" s="278">
        <v>1184618</v>
      </c>
      <c r="C47" s="278">
        <v>4995</v>
      </c>
      <c r="D47" s="279">
        <v>1.1200000000000001</v>
      </c>
      <c r="E47" s="279">
        <v>5.29</v>
      </c>
    </row>
    <row r="48" spans="1:5" ht="16.5" customHeight="1" x14ac:dyDescent="0.3">
      <c r="A48" s="277">
        <v>4</v>
      </c>
      <c r="B48" s="278">
        <v>1184563</v>
      </c>
      <c r="C48" s="278">
        <v>5004</v>
      </c>
      <c r="D48" s="279">
        <v>1.1100000000000001</v>
      </c>
      <c r="E48" s="279">
        <v>5.29</v>
      </c>
    </row>
    <row r="49" spans="1:7" ht="16.5" customHeight="1" x14ac:dyDescent="0.3">
      <c r="A49" s="277">
        <v>5</v>
      </c>
      <c r="B49" s="278">
        <v>1183524</v>
      </c>
      <c r="C49" s="278">
        <v>5022</v>
      </c>
      <c r="D49" s="279">
        <v>1.1000000000000001</v>
      </c>
      <c r="E49" s="279">
        <v>5.3</v>
      </c>
    </row>
    <row r="50" spans="1:7" ht="16.5" customHeight="1" x14ac:dyDescent="0.3">
      <c r="A50" s="277">
        <v>6</v>
      </c>
      <c r="B50" s="281">
        <v>1183193</v>
      </c>
      <c r="C50" s="281">
        <v>5036</v>
      </c>
      <c r="D50" s="282">
        <v>1.0900000000000001</v>
      </c>
      <c r="E50" s="282">
        <v>5.3</v>
      </c>
    </row>
    <row r="51" spans="1:7" ht="16.5" customHeight="1" x14ac:dyDescent="0.3">
      <c r="A51" s="283" t="s">
        <v>18</v>
      </c>
      <c r="B51" s="284">
        <f>AVERAGE(B45:B50)</f>
        <v>1184233.5</v>
      </c>
      <c r="C51" s="285">
        <f>AVERAGE(C45:C50)</f>
        <v>5005.5</v>
      </c>
      <c r="D51" s="286">
        <f>AVERAGE(D45:D50)</f>
        <v>1.1016666666666668</v>
      </c>
      <c r="E51" s="286">
        <f>AVERAGE(E45:E50)</f>
        <v>5.2933333333333339</v>
      </c>
    </row>
    <row r="52" spans="1:7" ht="16.5" customHeight="1" x14ac:dyDescent="0.3">
      <c r="A52" s="287" t="s">
        <v>19</v>
      </c>
      <c r="B52" s="288">
        <f>(STDEV(B45:B50)/B51)</f>
        <v>7.9989167511335384E-4</v>
      </c>
      <c r="C52" s="289"/>
      <c r="D52" s="289"/>
      <c r="E52" s="290"/>
    </row>
    <row r="53" spans="1:7" s="265" customFormat="1" ht="16.5" customHeight="1" x14ac:dyDescent="0.3">
      <c r="A53" s="291" t="s">
        <v>20</v>
      </c>
      <c r="B53" s="292">
        <f>COUNT(B45:B50)</f>
        <v>6</v>
      </c>
      <c r="C53" s="293"/>
      <c r="D53" s="294"/>
      <c r="E53" s="295"/>
    </row>
    <row r="54" spans="1:7" s="265" customFormat="1" ht="15.75" customHeight="1" x14ac:dyDescent="0.25">
      <c r="A54" s="271"/>
      <c r="B54" s="271"/>
      <c r="C54" s="271"/>
      <c r="D54" s="271"/>
      <c r="E54" s="271"/>
    </row>
    <row r="55" spans="1:7" s="265" customFormat="1" ht="16.5" customHeight="1" x14ac:dyDescent="0.3">
      <c r="A55" s="272" t="s">
        <v>21</v>
      </c>
      <c r="B55" s="296" t="s">
        <v>127</v>
      </c>
      <c r="C55" s="297"/>
      <c r="D55" s="297"/>
      <c r="E55" s="297"/>
    </row>
    <row r="56" spans="1:7" ht="16.5" customHeight="1" x14ac:dyDescent="0.3">
      <c r="A56" s="272"/>
      <c r="B56" s="296" t="s">
        <v>128</v>
      </c>
      <c r="C56" s="297"/>
      <c r="D56" s="297"/>
      <c r="E56" s="297"/>
    </row>
    <row r="57" spans="1:7" ht="16.5" customHeight="1" x14ac:dyDescent="0.3">
      <c r="A57" s="272"/>
      <c r="B57" s="296" t="s">
        <v>129</v>
      </c>
      <c r="C57" s="297"/>
      <c r="D57" s="297"/>
      <c r="E57" s="297"/>
    </row>
    <row r="58" spans="1:7" ht="14.25" customHeight="1" thickBot="1" x14ac:dyDescent="0.3">
      <c r="A58" s="298"/>
      <c r="B58" s="299"/>
      <c r="D58" s="300"/>
      <c r="F58" s="301"/>
      <c r="G58" s="301"/>
    </row>
    <row r="59" spans="1:7" ht="15" customHeight="1" x14ac:dyDescent="0.3">
      <c r="B59" s="311" t="s">
        <v>23</v>
      </c>
      <c r="C59" s="311"/>
      <c r="E59" s="302" t="s">
        <v>24</v>
      </c>
      <c r="F59" s="303"/>
      <c r="G59" s="302" t="s">
        <v>25</v>
      </c>
    </row>
    <row r="60" spans="1:7" ht="15" customHeight="1" x14ac:dyDescent="0.3">
      <c r="A60" s="304" t="s">
        <v>26</v>
      </c>
      <c r="B60" s="305"/>
      <c r="C60" s="305"/>
      <c r="E60" s="305"/>
      <c r="G60" s="305"/>
    </row>
    <row r="61" spans="1:7" ht="15" customHeight="1" x14ac:dyDescent="0.3">
      <c r="A61" s="304" t="s">
        <v>27</v>
      </c>
      <c r="B61" s="306"/>
      <c r="C61" s="306"/>
      <c r="E61" s="306"/>
      <c r="G61" s="30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16"/>
  <sheetViews>
    <sheetView tabSelected="1" view="pageBreakPreview" topLeftCell="A113" zoomScale="55" zoomScaleNormal="75" workbookViewId="0">
      <selection activeCell="F127" sqref="F127:F132"/>
    </sheetView>
  </sheetViews>
  <sheetFormatPr defaultRowHeight="13.5" x14ac:dyDescent="0.25"/>
  <cols>
    <col min="1" max="1" width="55.42578125" style="48" customWidth="1"/>
    <col min="2" max="2" width="33.7109375" style="48" customWidth="1"/>
    <col min="3" max="3" width="42.28515625" style="48" customWidth="1"/>
    <col min="4" max="4" width="30.5703125" style="48" customWidth="1"/>
    <col min="5" max="5" width="39.85546875" style="48" customWidth="1"/>
    <col min="6" max="6" width="30.7109375" style="48" customWidth="1"/>
    <col min="7" max="7" width="39.85546875" style="48" customWidth="1"/>
    <col min="8" max="8" width="41.140625" style="48" customWidth="1"/>
    <col min="9" max="9" width="30.28515625" style="48" customWidth="1"/>
    <col min="10" max="10" width="30.42578125" style="48" customWidth="1"/>
    <col min="11" max="11" width="21.28515625" style="48" customWidth="1"/>
    <col min="12" max="12" width="9.140625" style="48" customWidth="1"/>
    <col min="13" max="16384" width="9.140625" style="50"/>
  </cols>
  <sheetData>
    <row r="1" spans="1:8" x14ac:dyDescent="0.25">
      <c r="A1" s="318" t="s">
        <v>42</v>
      </c>
      <c r="B1" s="318"/>
      <c r="C1" s="318"/>
      <c r="D1" s="318"/>
      <c r="E1" s="318"/>
      <c r="F1" s="318"/>
      <c r="G1" s="318"/>
      <c r="H1" s="318"/>
    </row>
    <row r="2" spans="1:8" x14ac:dyDescent="0.25">
      <c r="A2" s="318"/>
      <c r="B2" s="318"/>
      <c r="C2" s="318"/>
      <c r="D2" s="318"/>
      <c r="E2" s="318"/>
      <c r="F2" s="318"/>
      <c r="G2" s="318"/>
      <c r="H2" s="318"/>
    </row>
    <row r="3" spans="1:8" x14ac:dyDescent="0.25">
      <c r="A3" s="318"/>
      <c r="B3" s="318"/>
      <c r="C3" s="318"/>
      <c r="D3" s="318"/>
      <c r="E3" s="318"/>
      <c r="F3" s="318"/>
      <c r="G3" s="318"/>
      <c r="H3" s="318"/>
    </row>
    <row r="4" spans="1:8" x14ac:dyDescent="0.25">
      <c r="A4" s="318"/>
      <c r="B4" s="318"/>
      <c r="C4" s="318"/>
      <c r="D4" s="318"/>
      <c r="E4" s="318"/>
      <c r="F4" s="318"/>
      <c r="G4" s="318"/>
      <c r="H4" s="318"/>
    </row>
    <row r="5" spans="1:8" x14ac:dyDescent="0.25">
      <c r="A5" s="318"/>
      <c r="B5" s="318"/>
      <c r="C5" s="318"/>
      <c r="D5" s="318"/>
      <c r="E5" s="318"/>
      <c r="F5" s="318"/>
      <c r="G5" s="318"/>
      <c r="H5" s="318"/>
    </row>
    <row r="6" spans="1:8" x14ac:dyDescent="0.25">
      <c r="A6" s="318"/>
      <c r="B6" s="318"/>
      <c r="C6" s="318"/>
      <c r="D6" s="318"/>
      <c r="E6" s="318"/>
      <c r="F6" s="318"/>
      <c r="G6" s="318"/>
      <c r="H6" s="318"/>
    </row>
    <row r="7" spans="1:8" x14ac:dyDescent="0.25">
      <c r="A7" s="318"/>
      <c r="B7" s="318"/>
      <c r="C7" s="318"/>
      <c r="D7" s="318"/>
      <c r="E7" s="318"/>
      <c r="F7" s="318"/>
      <c r="G7" s="318"/>
      <c r="H7" s="318"/>
    </row>
    <row r="8" spans="1:8" x14ac:dyDescent="0.25">
      <c r="A8" s="319" t="s">
        <v>43</v>
      </c>
      <c r="B8" s="319"/>
      <c r="C8" s="319"/>
      <c r="D8" s="319"/>
      <c r="E8" s="319"/>
      <c r="F8" s="319"/>
      <c r="G8" s="319"/>
      <c r="H8" s="319"/>
    </row>
    <row r="9" spans="1:8" x14ac:dyDescent="0.25">
      <c r="A9" s="319"/>
      <c r="B9" s="319"/>
      <c r="C9" s="319"/>
      <c r="D9" s="319"/>
      <c r="E9" s="319"/>
      <c r="F9" s="319"/>
      <c r="G9" s="319"/>
      <c r="H9" s="319"/>
    </row>
    <row r="10" spans="1:8" x14ac:dyDescent="0.25">
      <c r="A10" s="319"/>
      <c r="B10" s="319"/>
      <c r="C10" s="319"/>
      <c r="D10" s="319"/>
      <c r="E10" s="319"/>
      <c r="F10" s="319"/>
      <c r="G10" s="319"/>
      <c r="H10" s="319"/>
    </row>
    <row r="11" spans="1:8" x14ac:dyDescent="0.25">
      <c r="A11" s="319"/>
      <c r="B11" s="319"/>
      <c r="C11" s="319"/>
      <c r="D11" s="319"/>
      <c r="E11" s="319"/>
      <c r="F11" s="319"/>
      <c r="G11" s="319"/>
      <c r="H11" s="319"/>
    </row>
    <row r="12" spans="1:8" x14ac:dyDescent="0.25">
      <c r="A12" s="319"/>
      <c r="B12" s="319"/>
      <c r="C12" s="319"/>
      <c r="D12" s="319"/>
      <c r="E12" s="319"/>
      <c r="F12" s="319"/>
      <c r="G12" s="319"/>
      <c r="H12" s="319"/>
    </row>
    <row r="13" spans="1:8" x14ac:dyDescent="0.25">
      <c r="A13" s="319"/>
      <c r="B13" s="319"/>
      <c r="C13" s="319"/>
      <c r="D13" s="319"/>
      <c r="E13" s="319"/>
      <c r="F13" s="319"/>
      <c r="G13" s="319"/>
      <c r="H13" s="319"/>
    </row>
    <row r="14" spans="1:8" x14ac:dyDescent="0.25">
      <c r="A14" s="319"/>
      <c r="B14" s="319"/>
      <c r="C14" s="319"/>
      <c r="D14" s="319"/>
      <c r="E14" s="319"/>
      <c r="F14" s="319"/>
      <c r="G14" s="319"/>
      <c r="H14" s="319"/>
    </row>
    <row r="15" spans="1:8" ht="19.5" customHeight="1" thickBot="1" x14ac:dyDescent="0.3"/>
    <row r="16" spans="1:8" ht="19.5" customHeight="1" thickBot="1" x14ac:dyDescent="0.3">
      <c r="A16" s="320" t="s">
        <v>28</v>
      </c>
      <c r="B16" s="321"/>
      <c r="C16" s="321"/>
      <c r="D16" s="321"/>
      <c r="E16" s="321"/>
      <c r="F16" s="321"/>
      <c r="G16" s="321"/>
      <c r="H16" s="322"/>
    </row>
    <row r="17" spans="1:14" ht="18.75" x14ac:dyDescent="0.3">
      <c r="A17" s="49" t="s">
        <v>44</v>
      </c>
      <c r="B17" s="49"/>
    </row>
    <row r="18" spans="1:14" ht="18.75" x14ac:dyDescent="0.3">
      <c r="A18" s="51" t="s">
        <v>30</v>
      </c>
      <c r="B18" s="323" t="s">
        <v>94</v>
      </c>
      <c r="C18" s="323"/>
      <c r="D18" s="52"/>
      <c r="E18" s="52"/>
    </row>
    <row r="19" spans="1:14" ht="18.75" x14ac:dyDescent="0.3">
      <c r="A19" s="51" t="s">
        <v>31</v>
      </c>
      <c r="B19" s="53" t="s">
        <v>7</v>
      </c>
      <c r="C19" s="54">
        <v>24</v>
      </c>
    </row>
    <row r="20" spans="1:14" ht="18.75" x14ac:dyDescent="0.3">
      <c r="A20" s="51" t="s">
        <v>32</v>
      </c>
      <c r="B20" s="53" t="s">
        <v>92</v>
      </c>
    </row>
    <row r="21" spans="1:14" ht="26.25" x14ac:dyDescent="0.4">
      <c r="A21" s="51" t="s">
        <v>33</v>
      </c>
      <c r="B21" s="324" t="s">
        <v>11</v>
      </c>
      <c r="C21" s="324"/>
      <c r="D21" s="324"/>
      <c r="E21" s="324"/>
      <c r="F21" s="324"/>
      <c r="G21" s="324"/>
      <c r="H21" s="324"/>
      <c r="I21" s="55"/>
    </row>
    <row r="22" spans="1:14" ht="18.75" x14ac:dyDescent="0.3">
      <c r="A22" s="51" t="s">
        <v>34</v>
      </c>
      <c r="B22" s="56" t="s">
        <v>95</v>
      </c>
    </row>
    <row r="23" spans="1:14" ht="18.75" x14ac:dyDescent="0.3">
      <c r="A23" s="51" t="s">
        <v>35</v>
      </c>
      <c r="B23" s="56" t="s">
        <v>96</v>
      </c>
    </row>
    <row r="24" spans="1:14" ht="18.75" x14ac:dyDescent="0.3">
      <c r="A24" s="51"/>
      <c r="B24" s="57"/>
    </row>
    <row r="25" spans="1:14" ht="18.75" x14ac:dyDescent="0.3">
      <c r="A25" s="58" t="s">
        <v>1</v>
      </c>
      <c r="B25" s="57"/>
    </row>
    <row r="26" spans="1:14" ht="26.25" customHeight="1" x14ac:dyDescent="0.4">
      <c r="A26" s="59" t="s">
        <v>4</v>
      </c>
      <c r="B26" s="60" t="s">
        <v>97</v>
      </c>
      <c r="C26" s="61"/>
    </row>
    <row r="27" spans="1:14" ht="26.25" customHeight="1" x14ac:dyDescent="0.4">
      <c r="A27" s="62" t="s">
        <v>45</v>
      </c>
      <c r="B27" s="63" t="s">
        <v>93</v>
      </c>
    </row>
    <row r="28" spans="1:14" ht="27" customHeight="1" thickBot="1" x14ac:dyDescent="0.45">
      <c r="A28" s="62" t="s">
        <v>6</v>
      </c>
      <c r="B28" s="63">
        <v>99.6</v>
      </c>
    </row>
    <row r="29" spans="1:14" s="64" customFormat="1" ht="27" customHeight="1" thickBot="1" x14ac:dyDescent="0.45">
      <c r="A29" s="62" t="s">
        <v>46</v>
      </c>
      <c r="B29" s="63">
        <v>0</v>
      </c>
      <c r="C29" s="325" t="s">
        <v>47</v>
      </c>
      <c r="D29" s="326"/>
      <c r="E29" s="326"/>
      <c r="F29" s="326"/>
      <c r="G29" s="327"/>
      <c r="I29" s="65"/>
      <c r="J29" s="65"/>
      <c r="K29" s="65"/>
      <c r="L29" s="65"/>
    </row>
    <row r="30" spans="1:14" s="64" customFormat="1" ht="19.5" customHeight="1" thickBot="1" x14ac:dyDescent="0.35">
      <c r="A30" s="62" t="s">
        <v>48</v>
      </c>
      <c r="B30" s="66">
        <f>B28-B29</f>
        <v>99.6</v>
      </c>
      <c r="C30" s="67"/>
      <c r="D30" s="67"/>
      <c r="E30" s="67"/>
      <c r="F30" s="67"/>
      <c r="G30" s="68"/>
      <c r="I30" s="65"/>
      <c r="J30" s="65"/>
      <c r="K30" s="65"/>
      <c r="L30" s="65"/>
    </row>
    <row r="31" spans="1:14" s="64" customFormat="1" ht="27" customHeight="1" thickBot="1" x14ac:dyDescent="0.45">
      <c r="A31" s="62" t="s">
        <v>49</v>
      </c>
      <c r="B31" s="69">
        <v>704.85599999999999</v>
      </c>
      <c r="C31" s="328" t="s">
        <v>50</v>
      </c>
      <c r="D31" s="329"/>
      <c r="E31" s="329"/>
      <c r="F31" s="329"/>
      <c r="G31" s="329"/>
      <c r="H31" s="330"/>
      <c r="I31" s="65"/>
      <c r="J31" s="65"/>
      <c r="K31" s="65"/>
      <c r="L31" s="65"/>
    </row>
    <row r="32" spans="1:14" s="64" customFormat="1" ht="27" customHeight="1" thickBot="1" x14ac:dyDescent="0.45">
      <c r="A32" s="62" t="s">
        <v>51</v>
      </c>
      <c r="B32" s="69">
        <v>802.93299999999999</v>
      </c>
      <c r="C32" s="328" t="s">
        <v>52</v>
      </c>
      <c r="D32" s="329"/>
      <c r="E32" s="329"/>
      <c r="F32" s="329"/>
      <c r="G32" s="329"/>
      <c r="H32" s="330"/>
      <c r="I32" s="65"/>
      <c r="J32" s="65"/>
      <c r="K32" s="65"/>
      <c r="L32" s="70"/>
      <c r="M32" s="70"/>
      <c r="N32" s="71"/>
    </row>
    <row r="33" spans="1:14" s="64" customFormat="1" ht="17.25" customHeight="1" x14ac:dyDescent="0.3">
      <c r="A33" s="62"/>
      <c r="B33" s="72"/>
      <c r="C33" s="73"/>
      <c r="D33" s="73"/>
      <c r="E33" s="73"/>
      <c r="F33" s="73"/>
      <c r="G33" s="73"/>
      <c r="H33" s="73"/>
      <c r="I33" s="65"/>
      <c r="J33" s="65"/>
      <c r="K33" s="65"/>
      <c r="L33" s="70"/>
      <c r="M33" s="70"/>
      <c r="N33" s="71"/>
    </row>
    <row r="34" spans="1:14" s="64" customFormat="1" ht="18.75" x14ac:dyDescent="0.3">
      <c r="A34" s="62" t="s">
        <v>53</v>
      </c>
      <c r="B34" s="74">
        <f>B31/B32</f>
        <v>0.87785157665708102</v>
      </c>
      <c r="C34" s="54" t="s">
        <v>54</v>
      </c>
      <c r="D34" s="54"/>
      <c r="E34" s="54"/>
      <c r="F34" s="54"/>
      <c r="G34" s="54"/>
      <c r="I34" s="65"/>
      <c r="J34" s="65"/>
      <c r="K34" s="65"/>
      <c r="L34" s="70"/>
      <c r="M34" s="70"/>
      <c r="N34" s="71"/>
    </row>
    <row r="35" spans="1:14" s="64" customFormat="1" ht="19.5" customHeight="1" thickBot="1" x14ac:dyDescent="0.35">
      <c r="A35" s="62"/>
      <c r="B35" s="66"/>
      <c r="G35" s="54"/>
      <c r="I35" s="65"/>
      <c r="J35" s="65"/>
      <c r="K35" s="65"/>
      <c r="L35" s="70"/>
      <c r="M35" s="70"/>
      <c r="N35" s="71"/>
    </row>
    <row r="36" spans="1:14" s="64" customFormat="1" ht="27" customHeight="1" thickBot="1" x14ac:dyDescent="0.45">
      <c r="A36" s="75" t="s">
        <v>98</v>
      </c>
      <c r="B36" s="76">
        <v>10</v>
      </c>
      <c r="C36" s="54"/>
      <c r="D36" s="331" t="s">
        <v>55</v>
      </c>
      <c r="E36" s="332"/>
      <c r="F36" s="331" t="s">
        <v>56</v>
      </c>
      <c r="G36" s="333"/>
      <c r="J36" s="65"/>
      <c r="K36" s="65"/>
      <c r="L36" s="70"/>
      <c r="M36" s="70"/>
      <c r="N36" s="71"/>
    </row>
    <row r="37" spans="1:14" s="64" customFormat="1" ht="15.75" customHeight="1" x14ac:dyDescent="0.4">
      <c r="A37" s="77" t="s">
        <v>99</v>
      </c>
      <c r="B37" s="78">
        <v>4</v>
      </c>
      <c r="C37" s="79" t="s">
        <v>100</v>
      </c>
      <c r="D37" s="80" t="s">
        <v>58</v>
      </c>
      <c r="E37" s="81" t="s">
        <v>59</v>
      </c>
      <c r="F37" s="80" t="s">
        <v>58</v>
      </c>
      <c r="G37" s="82" t="s">
        <v>59</v>
      </c>
      <c r="J37" s="65"/>
      <c r="K37" s="65"/>
      <c r="L37" s="70"/>
      <c r="M37" s="70"/>
      <c r="N37" s="71"/>
    </row>
    <row r="38" spans="1:14" s="64" customFormat="1" ht="26.25" customHeight="1" x14ac:dyDescent="0.4">
      <c r="A38" s="77" t="s">
        <v>101</v>
      </c>
      <c r="B38" s="78">
        <v>25</v>
      </c>
      <c r="C38" s="83">
        <v>1</v>
      </c>
      <c r="D38" s="84">
        <v>1334208</v>
      </c>
      <c r="E38" s="85">
        <f>IF(ISBLANK(D38),"-",$D$48/$D$45*D38)</f>
        <v>1750396.683365464</v>
      </c>
      <c r="F38" s="84">
        <v>1607819</v>
      </c>
      <c r="G38" s="86">
        <f>IF(ISBLANK(F38),"-",$D$48/$F$45*F38)</f>
        <v>1754300.7716384302</v>
      </c>
      <c r="J38" s="65"/>
      <c r="K38" s="65"/>
      <c r="L38" s="70"/>
      <c r="M38" s="70"/>
      <c r="N38" s="71"/>
    </row>
    <row r="39" spans="1:14" s="64" customFormat="1" ht="26.25" customHeight="1" x14ac:dyDescent="0.4">
      <c r="A39" s="77" t="s">
        <v>102</v>
      </c>
      <c r="B39" s="78">
        <v>1</v>
      </c>
      <c r="C39" s="87">
        <v>2</v>
      </c>
      <c r="D39" s="88">
        <v>1333711</v>
      </c>
      <c r="E39" s="89">
        <f>IF(ISBLANK(D39),"-",$D$48/$D$45*D39)</f>
        <v>1749744.650735145</v>
      </c>
      <c r="F39" s="88">
        <v>1608517</v>
      </c>
      <c r="G39" s="90">
        <f>IF(ISBLANK(F39),"-",$D$48/$F$45*F39)</f>
        <v>1755062.3635456061</v>
      </c>
      <c r="J39" s="65"/>
      <c r="K39" s="65"/>
      <c r="L39" s="70"/>
      <c r="M39" s="70"/>
      <c r="N39" s="71"/>
    </row>
    <row r="40" spans="1:14" ht="26.25" customHeight="1" x14ac:dyDescent="0.4">
      <c r="A40" s="77" t="s">
        <v>103</v>
      </c>
      <c r="B40" s="78">
        <v>1</v>
      </c>
      <c r="C40" s="87">
        <v>3</v>
      </c>
      <c r="D40" s="88">
        <v>1333423</v>
      </c>
      <c r="E40" s="89">
        <f>IF(ISBLANK(D40),"-",$D$48/$D$45*D40)</f>
        <v>1749366.8129131494</v>
      </c>
      <c r="F40" s="88">
        <v>1608083</v>
      </c>
      <c r="G40" s="90">
        <f>IF(ISBLANK(F40),"-",$D$48/$F$45*F40)</f>
        <v>1754588.8235918605</v>
      </c>
      <c r="L40" s="70"/>
      <c r="M40" s="70"/>
      <c r="N40" s="54"/>
    </row>
    <row r="41" spans="1:14" ht="26.25" customHeight="1" x14ac:dyDescent="0.4">
      <c r="A41" s="77" t="s">
        <v>104</v>
      </c>
      <c r="B41" s="78">
        <v>1</v>
      </c>
      <c r="C41" s="91">
        <v>4</v>
      </c>
      <c r="D41" s="92"/>
      <c r="E41" s="93" t="str">
        <f>IF(ISBLANK(D41),"-",$D$48/$D$45*D41)</f>
        <v>-</v>
      </c>
      <c r="F41" s="92"/>
      <c r="G41" s="94" t="str">
        <f>IF(ISBLANK(F41),"-",$D$48/$F$45*F41)</f>
        <v>-</v>
      </c>
      <c r="L41" s="70"/>
      <c r="M41" s="70"/>
      <c r="N41" s="54"/>
    </row>
    <row r="42" spans="1:14" ht="27" customHeight="1" thickBot="1" x14ac:dyDescent="0.45">
      <c r="A42" s="77" t="s">
        <v>105</v>
      </c>
      <c r="B42" s="78">
        <v>1</v>
      </c>
      <c r="C42" s="95" t="s">
        <v>60</v>
      </c>
      <c r="D42" s="96">
        <f>AVERAGE(D38:D41)</f>
        <v>1333780.6666666667</v>
      </c>
      <c r="E42" s="97">
        <f>AVERAGE(E38:E41)</f>
        <v>1749836.0490045862</v>
      </c>
      <c r="F42" s="98">
        <f>AVERAGE(F38:F41)</f>
        <v>1608139.6666666667</v>
      </c>
      <c r="G42" s="99">
        <f>AVERAGE(G38:G41)</f>
        <v>1754650.6529252988</v>
      </c>
      <c r="H42" s="100"/>
    </row>
    <row r="43" spans="1:14" ht="26.25" customHeight="1" x14ac:dyDescent="0.4">
      <c r="A43" s="77" t="s">
        <v>106</v>
      </c>
      <c r="B43" s="63">
        <v>1</v>
      </c>
      <c r="C43" s="101" t="s">
        <v>81</v>
      </c>
      <c r="D43" s="102">
        <v>10.87</v>
      </c>
      <c r="E43" s="54"/>
      <c r="F43" s="103">
        <v>13.07</v>
      </c>
      <c r="H43" s="100"/>
    </row>
    <row r="44" spans="1:14" ht="26.25" customHeight="1" x14ac:dyDescent="0.4">
      <c r="A44" s="77" t="s">
        <v>107</v>
      </c>
      <c r="B44" s="63">
        <v>1</v>
      </c>
      <c r="C44" s="104" t="s">
        <v>82</v>
      </c>
      <c r="D44" s="105">
        <f>D43*$B$34</f>
        <v>9.5422466382624709</v>
      </c>
      <c r="E44" s="106"/>
      <c r="F44" s="107">
        <f>F43*$B$34</f>
        <v>11.473520106908049</v>
      </c>
      <c r="H44" s="100"/>
    </row>
    <row r="45" spans="1:14" ht="19.5" customHeight="1" thickBot="1" x14ac:dyDescent="0.35">
      <c r="A45" s="77" t="s">
        <v>61</v>
      </c>
      <c r="B45" s="66">
        <f>(B44/B43)*(B42/B41)*(B40/B39)*(B38/B37)*B36</f>
        <v>62.5</v>
      </c>
      <c r="C45" s="104" t="s">
        <v>62</v>
      </c>
      <c r="D45" s="108">
        <f>D44*$B$30/100</f>
        <v>9.5040776517094212</v>
      </c>
      <c r="E45" s="109"/>
      <c r="F45" s="110">
        <f>F44*$B$30/100</f>
        <v>11.427626026480416</v>
      </c>
      <c r="H45" s="100"/>
    </row>
    <row r="46" spans="1:14" ht="19.5" customHeight="1" thickBot="1" x14ac:dyDescent="0.35">
      <c r="A46" s="334" t="s">
        <v>63</v>
      </c>
      <c r="B46" s="335"/>
      <c r="C46" s="104" t="s">
        <v>64</v>
      </c>
      <c r="D46" s="105">
        <f>D45/$B$45</f>
        <v>0.15206524242735073</v>
      </c>
      <c r="E46" s="109"/>
      <c r="F46" s="111">
        <f>F45/$B$45</f>
        <v>0.18284201642368667</v>
      </c>
      <c r="H46" s="100"/>
    </row>
    <row r="47" spans="1:14" ht="27" customHeight="1" thickBot="1" x14ac:dyDescent="0.45">
      <c r="A47" s="336"/>
      <c r="B47" s="337"/>
      <c r="C47" s="104" t="s">
        <v>108</v>
      </c>
      <c r="D47" s="112">
        <v>0.19950000000000001</v>
      </c>
      <c r="F47" s="113"/>
      <c r="H47" s="100"/>
    </row>
    <row r="48" spans="1:14" ht="18.75" x14ac:dyDescent="0.3">
      <c r="C48" s="104" t="s">
        <v>65</v>
      </c>
      <c r="D48" s="105">
        <f>D47*$B$45</f>
        <v>12.46875</v>
      </c>
      <c r="F48" s="113"/>
      <c r="H48" s="100"/>
    </row>
    <row r="49" spans="1:12" ht="19.5" customHeight="1" thickBot="1" x14ac:dyDescent="0.35">
      <c r="C49" s="114" t="s">
        <v>66</v>
      </c>
      <c r="D49" s="115">
        <f>D48/B34</f>
        <v>14.203710890947937</v>
      </c>
      <c r="F49" s="116"/>
      <c r="H49" s="100"/>
    </row>
    <row r="50" spans="1:12" ht="18.75" x14ac:dyDescent="0.3">
      <c r="C50" s="117" t="s">
        <v>67</v>
      </c>
      <c r="D50" s="118">
        <f>AVERAGE(E38:E41,G38:G41)</f>
        <v>1752243.3509649422</v>
      </c>
      <c r="F50" s="116"/>
      <c r="H50" s="100"/>
    </row>
    <row r="51" spans="1:12" ht="18.75" x14ac:dyDescent="0.3">
      <c r="C51" s="119" t="s">
        <v>68</v>
      </c>
      <c r="D51" s="120">
        <f>STDEV(E38:E41,G38:G41)/D50</f>
        <v>1.5230064387954652E-3</v>
      </c>
      <c r="F51" s="116"/>
    </row>
    <row r="52" spans="1:12" ht="19.5" customHeight="1" thickBot="1" x14ac:dyDescent="0.35">
      <c r="C52" s="121" t="s">
        <v>20</v>
      </c>
      <c r="D52" s="122">
        <f>COUNT(E38:E41,G38:G41)</f>
        <v>6</v>
      </c>
      <c r="F52" s="116"/>
    </row>
    <row r="54" spans="1:12" ht="18.75" x14ac:dyDescent="0.3">
      <c r="A54" s="49" t="s">
        <v>1</v>
      </c>
      <c r="B54" s="123" t="s">
        <v>69</v>
      </c>
    </row>
    <row r="55" spans="1:12" ht="18.75" x14ac:dyDescent="0.3">
      <c r="A55" s="54" t="s">
        <v>70</v>
      </c>
      <c r="B55" s="124" t="str">
        <f>B21</f>
        <v>Each film coated tablet contains: Atanazavir (as sulfate) equivalent to Atazanavir 300 mg and Ritonavir 100 mg.</v>
      </c>
    </row>
    <row r="56" spans="1:12" ht="26.25" customHeight="1" x14ac:dyDescent="0.4">
      <c r="A56" s="124" t="s">
        <v>71</v>
      </c>
      <c r="B56" s="63">
        <v>300</v>
      </c>
      <c r="C56" s="54" t="str">
        <f>B20</f>
        <v>ATAZANAVIR</v>
      </c>
      <c r="H56" s="106"/>
    </row>
    <row r="57" spans="1:12" ht="18.75" x14ac:dyDescent="0.3">
      <c r="A57" s="124" t="s">
        <v>72</v>
      </c>
      <c r="B57" s="125">
        <f>Uniformity!C46</f>
        <v>1955.2625000000007</v>
      </c>
      <c r="H57" s="106"/>
    </row>
    <row r="58" spans="1:12" ht="19.5" customHeight="1" thickBot="1" x14ac:dyDescent="0.35">
      <c r="H58" s="106"/>
    </row>
    <row r="59" spans="1:12" s="64" customFormat="1" ht="27" customHeight="1" thickBot="1" x14ac:dyDescent="0.45">
      <c r="A59" s="75" t="s">
        <v>109</v>
      </c>
      <c r="B59" s="76">
        <v>200</v>
      </c>
      <c r="C59" s="54"/>
      <c r="D59" s="126" t="s">
        <v>73</v>
      </c>
      <c r="E59" s="127" t="s">
        <v>57</v>
      </c>
      <c r="F59" s="127" t="s">
        <v>58</v>
      </c>
      <c r="G59" s="127" t="s">
        <v>74</v>
      </c>
      <c r="H59" s="79" t="s">
        <v>75</v>
      </c>
      <c r="L59" s="65"/>
    </row>
    <row r="60" spans="1:12" s="64" customFormat="1" ht="22.5" customHeight="1" x14ac:dyDescent="0.4">
      <c r="A60" s="77" t="s">
        <v>110</v>
      </c>
      <c r="B60" s="78">
        <v>3</v>
      </c>
      <c r="C60" s="312" t="s">
        <v>76</v>
      </c>
      <c r="D60" s="315">
        <v>1935.09</v>
      </c>
      <c r="E60" s="128">
        <v>1</v>
      </c>
      <c r="F60" s="129">
        <v>1476326</v>
      </c>
      <c r="G60" s="130">
        <f>IF(ISBLANK(F60),"-",(F60/$D$50*$D$47*$B$68)*($B$57/$D$60))</f>
        <v>283.06319193385946</v>
      </c>
      <c r="H60" s="131">
        <f t="shared" ref="H60:H71" si="0">IF(ISBLANK(F60),"-",G60/$B$56)</f>
        <v>0.94354397311286486</v>
      </c>
      <c r="L60" s="65"/>
    </row>
    <row r="61" spans="1:12" s="64" customFormat="1" ht="26.25" customHeight="1" x14ac:dyDescent="0.4">
      <c r="A61" s="77" t="s">
        <v>111</v>
      </c>
      <c r="B61" s="78">
        <v>25</v>
      </c>
      <c r="C61" s="313"/>
      <c r="D61" s="316"/>
      <c r="E61" s="132">
        <v>2</v>
      </c>
      <c r="F61" s="88">
        <v>1476766</v>
      </c>
      <c r="G61" s="133">
        <f>IF(ISBLANK(F61),"-",(F61/$D$50*$D$47*$B$68)*($B$57/$D$60))</f>
        <v>283.14755528209753</v>
      </c>
      <c r="H61" s="134">
        <f t="shared" si="0"/>
        <v>0.94382518427365847</v>
      </c>
      <c r="L61" s="65"/>
    </row>
    <row r="62" spans="1:12" s="64" customFormat="1" ht="26.25" customHeight="1" x14ac:dyDescent="0.4">
      <c r="A62" s="77" t="s">
        <v>112</v>
      </c>
      <c r="B62" s="78">
        <v>1</v>
      </c>
      <c r="C62" s="313"/>
      <c r="D62" s="316"/>
      <c r="E62" s="132">
        <v>3</v>
      </c>
      <c r="F62" s="88">
        <v>1476870</v>
      </c>
      <c r="G62" s="133">
        <f>IF(ISBLANK(F62),"-",(F62/$D$50*$D$47*$B$68)*($B$57/$D$60))</f>
        <v>283.16749570986292</v>
      </c>
      <c r="H62" s="134">
        <f t="shared" si="0"/>
        <v>0.94389165236620975</v>
      </c>
      <c r="L62" s="65"/>
    </row>
    <row r="63" spans="1:12" ht="21" customHeight="1" thickBot="1" x14ac:dyDescent="0.45">
      <c r="A63" s="77" t="s">
        <v>113</v>
      </c>
      <c r="B63" s="78">
        <v>1</v>
      </c>
      <c r="C63" s="314"/>
      <c r="D63" s="317"/>
      <c r="E63" s="135">
        <v>4</v>
      </c>
      <c r="F63" s="136"/>
      <c r="G63" s="133" t="str">
        <f>IF(ISBLANK(F63),"-",(F63/$D$50*$D$47*$B$68)*($B$57/$D$60))</f>
        <v>-</v>
      </c>
      <c r="H63" s="134" t="str">
        <f t="shared" si="0"/>
        <v>-</v>
      </c>
    </row>
    <row r="64" spans="1:12" ht="26.25" customHeight="1" x14ac:dyDescent="0.4">
      <c r="A64" s="77" t="s">
        <v>114</v>
      </c>
      <c r="B64" s="78">
        <v>1</v>
      </c>
      <c r="C64" s="312" t="s">
        <v>77</v>
      </c>
      <c r="D64" s="315">
        <v>1957.06</v>
      </c>
      <c r="E64" s="128">
        <v>1</v>
      </c>
      <c r="F64" s="129">
        <v>1533562</v>
      </c>
      <c r="G64" s="137">
        <f>IF(ISBLANK(F64),"-",(F64/$D$50*$D$47*$B$68)*($B$57/$D$64))</f>
        <v>290.73645992094055</v>
      </c>
      <c r="H64" s="138">
        <f t="shared" si="0"/>
        <v>0.96912153306980187</v>
      </c>
    </row>
    <row r="65" spans="1:8" ht="26.25" customHeight="1" x14ac:dyDescent="0.4">
      <c r="A65" s="77" t="s">
        <v>115</v>
      </c>
      <c r="B65" s="78">
        <v>1</v>
      </c>
      <c r="C65" s="313"/>
      <c r="D65" s="316"/>
      <c r="E65" s="132">
        <v>2</v>
      </c>
      <c r="F65" s="88">
        <v>1533600</v>
      </c>
      <c r="G65" s="139">
        <f>IF(ISBLANK(F65),"-",(F65/$D$50*$D$47*$B$68)*($B$57/$D$64))</f>
        <v>290.74366405450479</v>
      </c>
      <c r="H65" s="140">
        <f t="shared" si="0"/>
        <v>0.9691455468483493</v>
      </c>
    </row>
    <row r="66" spans="1:8" ht="26.25" customHeight="1" x14ac:dyDescent="0.4">
      <c r="A66" s="77" t="s">
        <v>116</v>
      </c>
      <c r="B66" s="78">
        <v>1</v>
      </c>
      <c r="C66" s="313"/>
      <c r="D66" s="316"/>
      <c r="E66" s="132">
        <v>3</v>
      </c>
      <c r="F66" s="88">
        <v>1532127</v>
      </c>
      <c r="G66" s="139">
        <f>IF(ISBLANK(F66),"-",(F66/$D$50*$D$47*$B$68)*($B$57/$D$64))</f>
        <v>290.46440908766056</v>
      </c>
      <c r="H66" s="140">
        <f t="shared" si="0"/>
        <v>0.96821469695886853</v>
      </c>
    </row>
    <row r="67" spans="1:8" ht="21" customHeight="1" thickBot="1" x14ac:dyDescent="0.45">
      <c r="A67" s="77" t="s">
        <v>117</v>
      </c>
      <c r="B67" s="78">
        <v>1</v>
      </c>
      <c r="C67" s="314"/>
      <c r="D67" s="317"/>
      <c r="E67" s="135">
        <v>4</v>
      </c>
      <c r="F67" s="136"/>
      <c r="G67" s="141" t="str">
        <f>IF(ISBLANK(F67),"-",(F67/$D$50*$D$47*$B$68)*($B$57/$D$64))</f>
        <v>-</v>
      </c>
      <c r="H67" s="142" t="str">
        <f t="shared" si="0"/>
        <v>-</v>
      </c>
    </row>
    <row r="68" spans="1:8" ht="21.75" customHeight="1" x14ac:dyDescent="0.4">
      <c r="A68" s="77" t="s">
        <v>78</v>
      </c>
      <c r="B68" s="143">
        <f>(B67/B66)*(B65/B64)*(B63/B62)*(B61/B60)*B59</f>
        <v>1666.6666666666667</v>
      </c>
      <c r="C68" s="312" t="s">
        <v>79</v>
      </c>
      <c r="D68" s="315">
        <v>1945.28</v>
      </c>
      <c r="E68" s="128">
        <v>1</v>
      </c>
      <c r="F68" s="129">
        <v>1482626</v>
      </c>
      <c r="G68" s="137">
        <f>IF(ISBLANK(F68),"-",(F68/$D$50*$D$47*$B$68)*($B$57/$D$68))</f>
        <v>282.78201846334224</v>
      </c>
      <c r="H68" s="134">
        <f t="shared" si="0"/>
        <v>0.94260672821114078</v>
      </c>
    </row>
    <row r="69" spans="1:8" ht="21.75" customHeight="1" thickBot="1" x14ac:dyDescent="0.45">
      <c r="A69" s="144" t="s">
        <v>80</v>
      </c>
      <c r="B69" s="145">
        <f>D47*B68/B56*B57</f>
        <v>2167.0826041666678</v>
      </c>
      <c r="C69" s="313"/>
      <c r="D69" s="316"/>
      <c r="E69" s="132">
        <v>2</v>
      </c>
      <c r="F69" s="88">
        <v>1485613</v>
      </c>
      <c r="G69" s="139">
        <f>IF(ISBLANK(F69),"-",(F69/$D$50*$D$47*$B$68)*($B$57/$D$68))</f>
        <v>283.35173050747881</v>
      </c>
      <c r="H69" s="134">
        <f t="shared" si="0"/>
        <v>0.94450576835826272</v>
      </c>
    </row>
    <row r="70" spans="1:8" ht="22.5" customHeight="1" x14ac:dyDescent="0.4">
      <c r="A70" s="341" t="s">
        <v>63</v>
      </c>
      <c r="B70" s="342"/>
      <c r="C70" s="313"/>
      <c r="D70" s="316"/>
      <c r="E70" s="132">
        <v>3</v>
      </c>
      <c r="F70" s="88">
        <v>1485370</v>
      </c>
      <c r="G70" s="139">
        <f>IF(ISBLANK(F70),"-",(F70/$D$50*$D$47*$B$68)*($B$57/$D$68))</f>
        <v>283.30538299267289</v>
      </c>
      <c r="H70" s="134">
        <f t="shared" si="0"/>
        <v>0.94435127664224294</v>
      </c>
    </row>
    <row r="71" spans="1:8" ht="21.75" customHeight="1" thickBot="1" x14ac:dyDescent="0.45">
      <c r="A71" s="343"/>
      <c r="B71" s="344"/>
      <c r="C71" s="340"/>
      <c r="D71" s="317"/>
      <c r="E71" s="135">
        <v>4</v>
      </c>
      <c r="F71" s="136"/>
      <c r="G71" s="141" t="str">
        <f>IF(ISBLANK(F71),"-",(F71/$D$50*$D$47*$B$68)*($B$57/$D$68))</f>
        <v>-</v>
      </c>
      <c r="H71" s="146" t="str">
        <f t="shared" si="0"/>
        <v>-</v>
      </c>
    </row>
    <row r="72" spans="1:8" ht="26.25" customHeight="1" x14ac:dyDescent="0.4">
      <c r="A72" s="106"/>
      <c r="B72" s="106"/>
      <c r="C72" s="106"/>
      <c r="D72" s="106"/>
      <c r="E72" s="106"/>
      <c r="F72" s="106"/>
      <c r="G72" s="147" t="s">
        <v>60</v>
      </c>
      <c r="H72" s="148">
        <f>AVERAGE(H60:H71)</f>
        <v>0.95213403998237789</v>
      </c>
    </row>
    <row r="73" spans="1:8" ht="26.25" customHeight="1" x14ac:dyDescent="0.4">
      <c r="C73" s="106"/>
      <c r="D73" s="106"/>
      <c r="E73" s="106"/>
      <c r="F73" s="106"/>
      <c r="G73" s="119" t="s">
        <v>68</v>
      </c>
      <c r="H73" s="149">
        <f>STDEV(H60:H71)/H72</f>
        <v>1.3164319538147087E-2</v>
      </c>
    </row>
    <row r="74" spans="1:8" ht="27" customHeight="1" thickBot="1" x14ac:dyDescent="0.45">
      <c r="A74" s="106"/>
      <c r="B74" s="106"/>
      <c r="C74" s="106"/>
      <c r="D74" s="106"/>
      <c r="E74" s="109"/>
      <c r="F74" s="106"/>
      <c r="G74" s="121" t="s">
        <v>20</v>
      </c>
      <c r="H74" s="150">
        <f>COUNT(H60:H71)</f>
        <v>9</v>
      </c>
    </row>
    <row r="75" spans="1:8" ht="18.75" x14ac:dyDescent="0.3">
      <c r="A75" s="106"/>
      <c r="B75" s="106"/>
      <c r="C75" s="106"/>
      <c r="D75" s="106"/>
      <c r="E75" s="109"/>
      <c r="F75" s="106"/>
      <c r="G75" s="62"/>
      <c r="H75" s="66"/>
    </row>
    <row r="76" spans="1:8" ht="18.75" x14ac:dyDescent="0.3">
      <c r="A76" s="59" t="s">
        <v>118</v>
      </c>
      <c r="B76" s="62" t="s">
        <v>86</v>
      </c>
      <c r="C76" s="345" t="str">
        <f>B20</f>
        <v>ATAZANAVIR</v>
      </c>
      <c r="D76" s="345"/>
      <c r="E76" s="54" t="s">
        <v>119</v>
      </c>
      <c r="F76" s="54"/>
      <c r="G76" s="151">
        <f>H72</f>
        <v>0.95213403998237789</v>
      </c>
      <c r="H76" s="66"/>
    </row>
    <row r="77" spans="1:8" ht="18.75" x14ac:dyDescent="0.3">
      <c r="A77" s="106"/>
      <c r="B77" s="106"/>
      <c r="C77" s="106"/>
      <c r="D77" s="106"/>
      <c r="E77" s="109"/>
      <c r="F77" s="106"/>
      <c r="G77" s="62"/>
      <c r="H77" s="66"/>
    </row>
    <row r="78" spans="1:8" ht="26.25" customHeight="1" x14ac:dyDescent="0.4">
      <c r="A78" s="58" t="s">
        <v>120</v>
      </c>
      <c r="B78" s="58" t="s">
        <v>121</v>
      </c>
      <c r="D78" s="152">
        <v>45</v>
      </c>
    </row>
    <row r="79" spans="1:8" ht="18.75" x14ac:dyDescent="0.3">
      <c r="A79" s="58"/>
      <c r="B79" s="58"/>
    </row>
    <row r="80" spans="1:8" ht="26.25" customHeight="1" x14ac:dyDescent="0.4">
      <c r="A80" s="59" t="s">
        <v>4</v>
      </c>
      <c r="B80" s="63" t="str">
        <f>B26</f>
        <v xml:space="preserve">Atazanavir </v>
      </c>
      <c r="C80" s="61"/>
    </row>
    <row r="81" spans="1:12" ht="26.25" customHeight="1" x14ac:dyDescent="0.4">
      <c r="A81" s="62" t="s">
        <v>45</v>
      </c>
      <c r="B81" s="63" t="s">
        <v>122</v>
      </c>
    </row>
    <row r="82" spans="1:12" ht="27" customHeight="1" thickBot="1" x14ac:dyDescent="0.45">
      <c r="A82" s="62" t="s">
        <v>6</v>
      </c>
      <c r="B82" s="63">
        <v>98.8</v>
      </c>
    </row>
    <row r="83" spans="1:12" s="64" customFormat="1" ht="27" customHeight="1" thickBot="1" x14ac:dyDescent="0.45">
      <c r="A83" s="62" t="s">
        <v>46</v>
      </c>
      <c r="B83" s="63">
        <f>B29</f>
        <v>0</v>
      </c>
      <c r="C83" s="325" t="s">
        <v>47</v>
      </c>
      <c r="D83" s="326"/>
      <c r="E83" s="326"/>
      <c r="F83" s="326"/>
      <c r="G83" s="327"/>
      <c r="I83" s="65"/>
      <c r="J83" s="65"/>
      <c r="K83" s="65"/>
      <c r="L83" s="65"/>
    </row>
    <row r="84" spans="1:12" s="64" customFormat="1" ht="18.75" x14ac:dyDescent="0.3">
      <c r="A84" s="62" t="s">
        <v>48</v>
      </c>
      <c r="B84" s="66">
        <f>B82-B83</f>
        <v>98.8</v>
      </c>
      <c r="C84" s="67"/>
      <c r="D84" s="67"/>
      <c r="E84" s="67"/>
      <c r="F84" s="67"/>
      <c r="G84" s="68"/>
      <c r="I84" s="65"/>
      <c r="J84" s="65"/>
      <c r="K84" s="65"/>
      <c r="L84" s="65"/>
    </row>
    <row r="85" spans="1:12" s="64" customFormat="1" ht="19.5" customHeight="1" thickBot="1" x14ac:dyDescent="0.35">
      <c r="A85" s="62"/>
      <c r="B85" s="66"/>
      <c r="C85" s="67"/>
      <c r="D85" s="67"/>
      <c r="E85" s="67"/>
      <c r="F85" s="67"/>
      <c r="G85" s="68"/>
      <c r="I85" s="65"/>
      <c r="J85" s="65"/>
      <c r="K85" s="65"/>
      <c r="L85" s="65"/>
    </row>
    <row r="86" spans="1:12" s="64" customFormat="1" ht="27" customHeight="1" thickBot="1" x14ac:dyDescent="0.45">
      <c r="A86" s="62" t="s">
        <v>49</v>
      </c>
      <c r="B86" s="69">
        <v>704.85599999999999</v>
      </c>
      <c r="C86" s="328" t="s">
        <v>50</v>
      </c>
      <c r="D86" s="329"/>
      <c r="E86" s="329"/>
      <c r="F86" s="329"/>
      <c r="G86" s="329"/>
      <c r="H86" s="330"/>
      <c r="I86" s="65"/>
      <c r="J86" s="65"/>
      <c r="K86" s="65"/>
      <c r="L86" s="65"/>
    </row>
    <row r="87" spans="1:12" s="64" customFormat="1" ht="27" customHeight="1" thickBot="1" x14ac:dyDescent="0.45">
      <c r="A87" s="62" t="s">
        <v>51</v>
      </c>
      <c r="B87" s="69">
        <v>802.93299999999999</v>
      </c>
      <c r="C87" s="328" t="s">
        <v>52</v>
      </c>
      <c r="D87" s="329"/>
      <c r="E87" s="329"/>
      <c r="F87" s="329"/>
      <c r="G87" s="329"/>
      <c r="H87" s="330"/>
      <c r="I87" s="65"/>
      <c r="J87" s="65"/>
      <c r="K87" s="65"/>
      <c r="L87" s="65"/>
    </row>
    <row r="88" spans="1:12" s="64" customFormat="1" ht="18.75" x14ac:dyDescent="0.3">
      <c r="A88" s="62"/>
      <c r="B88" s="66"/>
      <c r="C88" s="67"/>
      <c r="D88" s="67"/>
      <c r="E88" s="67"/>
      <c r="F88" s="67"/>
      <c r="G88" s="68"/>
      <c r="I88" s="65"/>
      <c r="J88" s="65"/>
      <c r="K88" s="65"/>
      <c r="L88" s="65"/>
    </row>
    <row r="89" spans="1:12" ht="18.75" x14ac:dyDescent="0.3">
      <c r="A89" s="62" t="s">
        <v>53</v>
      </c>
      <c r="B89" s="74">
        <f>B86/B87</f>
        <v>0.87785157665708102</v>
      </c>
      <c r="C89" s="54" t="s">
        <v>54</v>
      </c>
    </row>
    <row r="90" spans="1:12" ht="19.5" customHeight="1" thickBot="1" x14ac:dyDescent="0.35">
      <c r="A90" s="62"/>
      <c r="B90" s="74"/>
    </row>
    <row r="91" spans="1:12" ht="27" customHeight="1" thickBot="1" x14ac:dyDescent="0.45">
      <c r="A91" s="75" t="s">
        <v>98</v>
      </c>
      <c r="B91" s="76">
        <v>50</v>
      </c>
      <c r="D91" s="153" t="s">
        <v>55</v>
      </c>
      <c r="E91" s="154"/>
      <c r="F91" s="331" t="s">
        <v>56</v>
      </c>
      <c r="G91" s="333"/>
    </row>
    <row r="92" spans="1:12" ht="26.25" customHeight="1" x14ac:dyDescent="0.4">
      <c r="A92" s="77" t="s">
        <v>99</v>
      </c>
      <c r="B92" s="78">
        <v>1</v>
      </c>
      <c r="C92" s="155" t="s">
        <v>100</v>
      </c>
      <c r="D92" s="80" t="s">
        <v>58</v>
      </c>
      <c r="E92" s="81" t="s">
        <v>59</v>
      </c>
      <c r="F92" s="80" t="s">
        <v>58</v>
      </c>
      <c r="G92" s="82" t="s">
        <v>59</v>
      </c>
    </row>
    <row r="93" spans="1:12" ht="26.25" customHeight="1" x14ac:dyDescent="0.4">
      <c r="A93" s="77" t="s">
        <v>101</v>
      </c>
      <c r="B93" s="78">
        <v>1</v>
      </c>
      <c r="C93" s="156">
        <v>1</v>
      </c>
      <c r="D93" s="84">
        <v>1192504</v>
      </c>
      <c r="E93" s="85">
        <f>IF(ISBLANK(D93),"-",$D$103/$D$100*D93)</f>
        <v>1353281.3554095461</v>
      </c>
      <c r="F93" s="84">
        <v>1169578</v>
      </c>
      <c r="G93" s="86">
        <f>IF(ISBLANK(F93),"-",$D$103/$F$100*F93)</f>
        <v>1349400.2263246661</v>
      </c>
    </row>
    <row r="94" spans="1:12" ht="26.25" customHeight="1" x14ac:dyDescent="0.4">
      <c r="A94" s="77" t="s">
        <v>102</v>
      </c>
      <c r="B94" s="78">
        <v>1</v>
      </c>
      <c r="C94" s="106">
        <v>2</v>
      </c>
      <c r="D94" s="88">
        <v>1180540</v>
      </c>
      <c r="E94" s="89">
        <f>IF(ISBLANK(D94),"-",$D$103/$D$100*D94)</f>
        <v>1339704.3291386741</v>
      </c>
      <c r="F94" s="88">
        <v>1172120</v>
      </c>
      <c r="G94" s="90">
        <f>IF(ISBLANK(F94),"-",$D$103/$F$100*F94)</f>
        <v>1352333.0579744726</v>
      </c>
    </row>
    <row r="95" spans="1:12" ht="26.25" customHeight="1" x14ac:dyDescent="0.4">
      <c r="A95" s="77" t="s">
        <v>103</v>
      </c>
      <c r="B95" s="78">
        <v>1</v>
      </c>
      <c r="C95" s="106">
        <v>3</v>
      </c>
      <c r="D95" s="88">
        <v>1183249</v>
      </c>
      <c r="E95" s="89">
        <f>IF(ISBLANK(D95),"-",$D$103/$D$100*D95)</f>
        <v>1342778.5655284929</v>
      </c>
      <c r="F95" s="88">
        <v>1171319</v>
      </c>
      <c r="G95" s="90">
        <f>IF(ISBLANK(F95),"-",$D$103/$F$100*F95)</f>
        <v>1351408.9044923738</v>
      </c>
    </row>
    <row r="96" spans="1:12" ht="26.25" customHeight="1" x14ac:dyDescent="0.4">
      <c r="A96" s="77" t="s">
        <v>104</v>
      </c>
      <c r="B96" s="78">
        <v>1</v>
      </c>
      <c r="C96" s="157">
        <v>4</v>
      </c>
      <c r="D96" s="92"/>
      <c r="E96" s="93" t="str">
        <f>IF(ISBLANK(D96),"-",$D$103/$D$100*D96)</f>
        <v>-</v>
      </c>
      <c r="F96" s="158"/>
      <c r="G96" s="94" t="str">
        <f>IF(ISBLANK(F96),"-",$D$103/$F$100*F96)</f>
        <v>-</v>
      </c>
    </row>
    <row r="97" spans="1:10" ht="27" customHeight="1" thickBot="1" x14ac:dyDescent="0.45">
      <c r="A97" s="77" t="s">
        <v>105</v>
      </c>
      <c r="B97" s="78">
        <v>1</v>
      </c>
      <c r="C97" s="62" t="s">
        <v>60</v>
      </c>
      <c r="D97" s="159">
        <f>AVERAGE(D93:D96)</f>
        <v>1185431</v>
      </c>
      <c r="E97" s="97">
        <f>AVERAGE(E93:E96)</f>
        <v>1345254.7500255711</v>
      </c>
      <c r="F97" s="160">
        <f>AVERAGE(F93:F96)</f>
        <v>1171005.6666666667</v>
      </c>
      <c r="G97" s="161">
        <f>AVERAGE(G93:G96)</f>
        <v>1351047.3962638376</v>
      </c>
    </row>
    <row r="98" spans="1:10" ht="26.25" customHeight="1" x14ac:dyDescent="0.4">
      <c r="A98" s="77" t="s">
        <v>106</v>
      </c>
      <c r="B98" s="63">
        <v>1</v>
      </c>
      <c r="C98" s="101" t="s">
        <v>81</v>
      </c>
      <c r="D98" s="102">
        <v>15.24</v>
      </c>
      <c r="E98" s="54"/>
      <c r="F98" s="103">
        <v>14.99</v>
      </c>
    </row>
    <row r="99" spans="1:10" ht="26.25" customHeight="1" x14ac:dyDescent="0.4">
      <c r="A99" s="77" t="s">
        <v>107</v>
      </c>
      <c r="B99" s="63">
        <v>1</v>
      </c>
      <c r="C99" s="104" t="s">
        <v>82</v>
      </c>
      <c r="D99" s="105">
        <f>D98*$B$89</f>
        <v>13.378458028253915</v>
      </c>
      <c r="E99" s="106"/>
      <c r="F99" s="107">
        <f>F98*$B$89</f>
        <v>13.158995134089645</v>
      </c>
    </row>
    <row r="100" spans="1:10" ht="19.5" customHeight="1" thickBot="1" x14ac:dyDescent="0.35">
      <c r="A100" s="77" t="s">
        <v>61</v>
      </c>
      <c r="B100" s="66">
        <f>(B99/B98)*(B97/B96)*(B95/B94)*(B93/B92)*B91</f>
        <v>50</v>
      </c>
      <c r="C100" s="104" t="s">
        <v>62</v>
      </c>
      <c r="D100" s="108">
        <f>D99*$B$84/100</f>
        <v>13.217916531914868</v>
      </c>
      <c r="E100" s="109"/>
      <c r="F100" s="110">
        <f>F99*$B$84/100</f>
        <v>13.00108719248057</v>
      </c>
    </row>
    <row r="101" spans="1:10" ht="19.5" customHeight="1" thickBot="1" x14ac:dyDescent="0.35">
      <c r="A101" s="334" t="s">
        <v>63</v>
      </c>
      <c r="B101" s="335"/>
      <c r="C101" s="104" t="s">
        <v>64</v>
      </c>
      <c r="D101" s="105">
        <f>D100/$B$100</f>
        <v>0.26435833063829739</v>
      </c>
      <c r="E101" s="109"/>
      <c r="F101" s="111">
        <f>F100/$B$100</f>
        <v>0.26002174384961141</v>
      </c>
      <c r="H101" s="100"/>
    </row>
    <row r="102" spans="1:10" ht="19.5" customHeight="1" thickBot="1" x14ac:dyDescent="0.35">
      <c r="A102" s="336"/>
      <c r="B102" s="337"/>
      <c r="C102" s="104" t="s">
        <v>108</v>
      </c>
      <c r="D102" s="108">
        <f>$B$56/$B$118</f>
        <v>0.3</v>
      </c>
      <c r="F102" s="113"/>
      <c r="G102" s="162"/>
      <c r="H102" s="100"/>
    </row>
    <row r="103" spans="1:10" ht="18.75" x14ac:dyDescent="0.3">
      <c r="C103" s="104" t="s">
        <v>65</v>
      </c>
      <c r="D103" s="105">
        <f>D102*$B$100</f>
        <v>15</v>
      </c>
      <c r="F103" s="113"/>
      <c r="H103" s="100"/>
    </row>
    <row r="104" spans="1:10" ht="19.5" customHeight="1" thickBot="1" x14ac:dyDescent="0.35">
      <c r="C104" s="114" t="s">
        <v>66</v>
      </c>
      <c r="D104" s="115">
        <f>D103/B34</f>
        <v>17.087170996629098</v>
      </c>
      <c r="F104" s="116"/>
      <c r="H104" s="100"/>
      <c r="J104" s="163"/>
    </row>
    <row r="105" spans="1:10" ht="18.75" x14ac:dyDescent="0.3">
      <c r="C105" s="117" t="s">
        <v>67</v>
      </c>
      <c r="D105" s="118">
        <f>AVERAGE(E93:E96,G93:G96)</f>
        <v>1348151.0731447043</v>
      </c>
      <c r="F105" s="116"/>
      <c r="G105" s="162"/>
      <c r="H105" s="100"/>
      <c r="J105" s="164"/>
    </row>
    <row r="106" spans="1:10" ht="18.75" x14ac:dyDescent="0.3">
      <c r="C106" s="119" t="s">
        <v>68</v>
      </c>
      <c r="D106" s="165">
        <f>STDEV(E93:E96,G93:G96)/D105</f>
        <v>4.1458020317992755E-3</v>
      </c>
      <c r="F106" s="116"/>
      <c r="H106" s="100"/>
      <c r="J106" s="164"/>
    </row>
    <row r="107" spans="1:10" ht="19.5" customHeight="1" thickBot="1" x14ac:dyDescent="0.35">
      <c r="C107" s="121" t="s">
        <v>20</v>
      </c>
      <c r="D107" s="166">
        <f>COUNT(E93:E96,G93:G96)</f>
        <v>6</v>
      </c>
      <c r="F107" s="116"/>
      <c r="H107" s="100"/>
      <c r="J107" s="164"/>
    </row>
    <row r="108" spans="1:10" ht="19.5" customHeight="1" thickBot="1" x14ac:dyDescent="0.35">
      <c r="A108" s="49"/>
      <c r="B108" s="49"/>
      <c r="C108" s="49"/>
      <c r="D108" s="49"/>
      <c r="E108" s="49"/>
    </row>
    <row r="109" spans="1:10" ht="26.25" customHeight="1" x14ac:dyDescent="0.4">
      <c r="A109" s="75" t="s">
        <v>83</v>
      </c>
      <c r="B109" s="76">
        <v>1000</v>
      </c>
      <c r="C109" s="153" t="s">
        <v>123</v>
      </c>
      <c r="D109" s="167" t="s">
        <v>58</v>
      </c>
      <c r="E109" s="168" t="s">
        <v>84</v>
      </c>
      <c r="F109" s="169" t="s">
        <v>85</v>
      </c>
    </row>
    <row r="110" spans="1:10" ht="26.25" customHeight="1" x14ac:dyDescent="0.4">
      <c r="A110" s="77" t="s">
        <v>110</v>
      </c>
      <c r="B110" s="78">
        <v>1</v>
      </c>
      <c r="C110" s="170">
        <v>1</v>
      </c>
      <c r="D110" s="171">
        <v>1073892</v>
      </c>
      <c r="E110" s="172">
        <f t="shared" ref="E110:E115" si="1">IF(ISBLANK(D110),"-",D110/$D$105*$D$102*$B$118)</f>
        <v>238.96995404862909</v>
      </c>
      <c r="F110" s="173">
        <f t="shared" ref="F110:F115" si="2">IF(ISBLANK(D110), "-", E110/$B$56)</f>
        <v>0.79656651349543028</v>
      </c>
    </row>
    <row r="111" spans="1:10" ht="26.25" customHeight="1" x14ac:dyDescent="0.4">
      <c r="A111" s="77" t="s">
        <v>111</v>
      </c>
      <c r="B111" s="78">
        <v>1</v>
      </c>
      <c r="C111" s="170">
        <v>2</v>
      </c>
      <c r="D111" s="171">
        <v>1074956</v>
      </c>
      <c r="E111" s="174">
        <f t="shared" si="1"/>
        <v>239.20672276569536</v>
      </c>
      <c r="F111" s="175">
        <f t="shared" si="2"/>
        <v>0.79735574255231789</v>
      </c>
    </row>
    <row r="112" spans="1:10" ht="26.25" customHeight="1" x14ac:dyDescent="0.4">
      <c r="A112" s="77" t="s">
        <v>112</v>
      </c>
      <c r="B112" s="78">
        <v>1</v>
      </c>
      <c r="C112" s="170">
        <v>3</v>
      </c>
      <c r="D112" s="171">
        <v>1075113</v>
      </c>
      <c r="E112" s="174">
        <f t="shared" si="1"/>
        <v>239.24165950308205</v>
      </c>
      <c r="F112" s="175">
        <f t="shared" si="2"/>
        <v>0.79747219834360683</v>
      </c>
    </row>
    <row r="113" spans="1:10" ht="26.25" customHeight="1" x14ac:dyDescent="0.4">
      <c r="A113" s="77" t="s">
        <v>113</v>
      </c>
      <c r="B113" s="78">
        <v>1</v>
      </c>
      <c r="C113" s="170">
        <v>4</v>
      </c>
      <c r="D113" s="171">
        <v>1075672</v>
      </c>
      <c r="E113" s="174">
        <f t="shared" si="1"/>
        <v>239.36605209033775</v>
      </c>
      <c r="F113" s="175">
        <f t="shared" si="2"/>
        <v>0.79788684030112578</v>
      </c>
    </row>
    <row r="114" spans="1:10" ht="26.25" customHeight="1" x14ac:dyDescent="0.4">
      <c r="A114" s="77" t="s">
        <v>114</v>
      </c>
      <c r="B114" s="78">
        <v>1</v>
      </c>
      <c r="C114" s="170">
        <v>5</v>
      </c>
      <c r="D114" s="171">
        <v>1076337</v>
      </c>
      <c r="E114" s="174">
        <f t="shared" si="1"/>
        <v>239.51403253850415</v>
      </c>
      <c r="F114" s="175">
        <f t="shared" si="2"/>
        <v>0.7983801084616805</v>
      </c>
    </row>
    <row r="115" spans="1:10" ht="26.25" customHeight="1" x14ac:dyDescent="0.4">
      <c r="A115" s="77" t="s">
        <v>115</v>
      </c>
      <c r="B115" s="78">
        <v>1</v>
      </c>
      <c r="C115" s="176">
        <v>6</v>
      </c>
      <c r="D115" s="177">
        <v>1077035</v>
      </c>
      <c r="E115" s="178">
        <f t="shared" si="1"/>
        <v>239.66935637733144</v>
      </c>
      <c r="F115" s="179">
        <f t="shared" si="2"/>
        <v>0.79889785459110485</v>
      </c>
    </row>
    <row r="116" spans="1:10" ht="26.25" customHeight="1" x14ac:dyDescent="0.4">
      <c r="A116" s="77" t="s">
        <v>116</v>
      </c>
      <c r="B116" s="78">
        <v>1</v>
      </c>
      <c r="C116" s="170"/>
      <c r="D116" s="106"/>
      <c r="E116" s="54"/>
      <c r="F116" s="180"/>
    </row>
    <row r="117" spans="1:10" ht="26.25" customHeight="1" x14ac:dyDescent="0.4">
      <c r="A117" s="77" t="s">
        <v>117</v>
      </c>
      <c r="B117" s="78">
        <v>1</v>
      </c>
      <c r="C117" s="170"/>
      <c r="D117" s="181"/>
      <c r="E117" s="182" t="s">
        <v>60</v>
      </c>
      <c r="F117" s="183">
        <f>AVERAGE(F110:F115)</f>
        <v>0.79775987629087763</v>
      </c>
    </row>
    <row r="118" spans="1:10" ht="19.5" customHeight="1" thickBot="1" x14ac:dyDescent="0.35">
      <c r="A118" s="77" t="s">
        <v>78</v>
      </c>
      <c r="B118" s="143">
        <f>(B117/B116)*(B115/B114)*(B113/B112)*(B111/B110)*B109</f>
        <v>1000</v>
      </c>
      <c r="C118" s="184"/>
      <c r="D118" s="185"/>
      <c r="E118" s="62" t="s">
        <v>68</v>
      </c>
      <c r="F118" s="186">
        <f>STDEV(F110:F115)/F117</f>
        <v>1.0284894829408532E-3</v>
      </c>
      <c r="I118" s="54"/>
    </row>
    <row r="119" spans="1:10" ht="19.5" customHeight="1" thickBot="1" x14ac:dyDescent="0.35">
      <c r="A119" s="334" t="s">
        <v>63</v>
      </c>
      <c r="B119" s="338"/>
      <c r="C119" s="187"/>
      <c r="D119" s="188"/>
      <c r="E119" s="189" t="s">
        <v>20</v>
      </c>
      <c r="F119" s="166">
        <f>COUNT(F110:F115)</f>
        <v>6</v>
      </c>
      <c r="I119" s="54"/>
      <c r="J119" s="164"/>
    </row>
    <row r="120" spans="1:10" ht="19.5" customHeight="1" thickBot="1" x14ac:dyDescent="0.35">
      <c r="A120" s="336"/>
      <c r="B120" s="339"/>
      <c r="C120" s="54"/>
      <c r="D120" s="54"/>
      <c r="E120" s="54"/>
      <c r="F120" s="106"/>
      <c r="G120" s="54"/>
      <c r="H120" s="54"/>
      <c r="I120" s="54"/>
    </row>
    <row r="121" spans="1:10" ht="18.75" x14ac:dyDescent="0.3">
      <c r="A121" s="73"/>
      <c r="B121" s="73"/>
      <c r="C121" s="54"/>
      <c r="D121" s="54"/>
      <c r="E121" s="54"/>
      <c r="F121" s="106"/>
      <c r="G121" s="54"/>
      <c r="H121" s="54"/>
      <c r="I121" s="54"/>
    </row>
    <row r="122" spans="1:10" ht="18.75" x14ac:dyDescent="0.3">
      <c r="A122" s="59" t="s">
        <v>118</v>
      </c>
      <c r="B122" s="62" t="s">
        <v>86</v>
      </c>
      <c r="C122" s="345" t="str">
        <f>B20</f>
        <v>ATAZANAVIR</v>
      </c>
      <c r="D122" s="345"/>
      <c r="E122" s="54" t="s">
        <v>87</v>
      </c>
      <c r="F122" s="54"/>
      <c r="G122" s="151">
        <f>F117</f>
        <v>0.79775987629087763</v>
      </c>
      <c r="H122" s="54"/>
      <c r="I122" s="54"/>
    </row>
    <row r="123" spans="1:10" ht="18.75" x14ac:dyDescent="0.3">
      <c r="A123" s="73"/>
      <c r="B123" s="73"/>
      <c r="C123" s="54"/>
      <c r="D123" s="54"/>
      <c r="E123" s="54"/>
      <c r="F123" s="106"/>
      <c r="G123" s="54"/>
      <c r="H123" s="54"/>
      <c r="I123" s="54"/>
    </row>
    <row r="124" spans="1:10" ht="26.25" customHeight="1" x14ac:dyDescent="0.4">
      <c r="A124" s="58" t="s">
        <v>120</v>
      </c>
      <c r="B124" s="58" t="s">
        <v>121</v>
      </c>
      <c r="D124" s="152" t="s">
        <v>124</v>
      </c>
    </row>
    <row r="125" spans="1:10" ht="19.5" customHeight="1" thickBot="1" x14ac:dyDescent="0.35">
      <c r="A125" s="49"/>
      <c r="B125" s="49"/>
      <c r="C125" s="49"/>
      <c r="D125" s="49"/>
      <c r="E125" s="49"/>
    </row>
    <row r="126" spans="1:10" ht="26.25" customHeight="1" x14ac:dyDescent="0.4">
      <c r="A126" s="75" t="s">
        <v>83</v>
      </c>
      <c r="B126" s="76">
        <v>1000</v>
      </c>
      <c r="C126" s="153" t="s">
        <v>123</v>
      </c>
      <c r="D126" s="167" t="s">
        <v>58</v>
      </c>
      <c r="E126" s="168" t="s">
        <v>84</v>
      </c>
      <c r="F126" s="169" t="s">
        <v>85</v>
      </c>
    </row>
    <row r="127" spans="1:10" ht="26.25" customHeight="1" x14ac:dyDescent="0.4">
      <c r="A127" s="77" t="s">
        <v>110</v>
      </c>
      <c r="B127" s="78">
        <v>1</v>
      </c>
      <c r="C127" s="170">
        <v>1</v>
      </c>
      <c r="D127" s="171">
        <v>1361400</v>
      </c>
      <c r="E127" s="190">
        <f t="shared" ref="E127:E132" si="3">IF(ISBLANK(D127),"-",D127/$D$105*$D$102*$B$135)</f>
        <v>302.94824381018168</v>
      </c>
      <c r="F127" s="191">
        <f t="shared" ref="F127:F132" si="4">IF(ISBLANK(D127), "-", E127/$B$56)</f>
        <v>1.0098274793672724</v>
      </c>
    </row>
    <row r="128" spans="1:10" ht="26.25" customHeight="1" x14ac:dyDescent="0.4">
      <c r="A128" s="77" t="s">
        <v>111</v>
      </c>
      <c r="B128" s="78">
        <v>1</v>
      </c>
      <c r="C128" s="170">
        <v>2</v>
      </c>
      <c r="D128" s="171">
        <v>1361717</v>
      </c>
      <c r="E128" s="192">
        <f t="shared" si="3"/>
        <v>303.01878486592415</v>
      </c>
      <c r="F128" s="193">
        <f t="shared" si="4"/>
        <v>1.0100626162197472</v>
      </c>
    </row>
    <row r="129" spans="1:10" ht="26.25" customHeight="1" x14ac:dyDescent="0.4">
      <c r="A129" s="77" t="s">
        <v>112</v>
      </c>
      <c r="B129" s="78">
        <v>1</v>
      </c>
      <c r="C129" s="170">
        <v>3</v>
      </c>
      <c r="D129" s="171">
        <v>1362663</v>
      </c>
      <c r="E129" s="192">
        <f t="shared" si="3"/>
        <v>303.22929539820302</v>
      </c>
      <c r="F129" s="193">
        <f t="shared" si="4"/>
        <v>1.01076431799401</v>
      </c>
    </row>
    <row r="130" spans="1:10" ht="26.25" customHeight="1" x14ac:dyDescent="0.4">
      <c r="A130" s="77" t="s">
        <v>113</v>
      </c>
      <c r="B130" s="78">
        <v>1</v>
      </c>
      <c r="C130" s="170">
        <v>4</v>
      </c>
      <c r="D130" s="171">
        <v>1364561</v>
      </c>
      <c r="E130" s="192">
        <f t="shared" si="3"/>
        <v>303.65165162469901</v>
      </c>
      <c r="F130" s="193">
        <f t="shared" si="4"/>
        <v>1.01217217208233</v>
      </c>
    </row>
    <row r="131" spans="1:10" ht="26.25" customHeight="1" x14ac:dyDescent="0.4">
      <c r="A131" s="77" t="s">
        <v>114</v>
      </c>
      <c r="B131" s="78">
        <v>1</v>
      </c>
      <c r="C131" s="170">
        <v>5</v>
      </c>
      <c r="D131" s="171">
        <v>1367946</v>
      </c>
      <c r="E131" s="192">
        <f t="shared" si="3"/>
        <v>304.40490548491465</v>
      </c>
      <c r="F131" s="193">
        <f t="shared" si="4"/>
        <v>1.0146830182830489</v>
      </c>
    </row>
    <row r="132" spans="1:10" ht="26.25" customHeight="1" x14ac:dyDescent="0.4">
      <c r="A132" s="77" t="s">
        <v>115</v>
      </c>
      <c r="B132" s="78">
        <v>1</v>
      </c>
      <c r="C132" s="176">
        <v>6</v>
      </c>
      <c r="D132" s="177">
        <v>1373207</v>
      </c>
      <c r="E132" s="194">
        <f t="shared" si="3"/>
        <v>305.57561997785234</v>
      </c>
      <c r="F132" s="195">
        <f t="shared" si="4"/>
        <v>1.0185853999261745</v>
      </c>
    </row>
    <row r="133" spans="1:10" ht="26.25" customHeight="1" x14ac:dyDescent="0.4">
      <c r="A133" s="77" t="s">
        <v>116</v>
      </c>
      <c r="B133" s="78">
        <v>1</v>
      </c>
      <c r="C133" s="170"/>
      <c r="D133" s="106"/>
      <c r="E133" s="54"/>
      <c r="F133" s="180"/>
    </row>
    <row r="134" spans="1:10" ht="26.25" customHeight="1" x14ac:dyDescent="0.4">
      <c r="A134" s="77" t="s">
        <v>117</v>
      </c>
      <c r="B134" s="78">
        <v>1</v>
      </c>
      <c r="C134" s="170"/>
      <c r="D134" s="181"/>
      <c r="E134" s="182" t="s">
        <v>60</v>
      </c>
      <c r="F134" s="196">
        <f>AVERAGE(F127:F132)</f>
        <v>1.0126825006454305</v>
      </c>
    </row>
    <row r="135" spans="1:10" ht="27" customHeight="1" thickBot="1" x14ac:dyDescent="0.45">
      <c r="A135" s="77" t="s">
        <v>78</v>
      </c>
      <c r="B135" s="78">
        <f>(B134/B133)*(B132/B131)*(B130/B129)*(B128/B127)*B126</f>
        <v>1000</v>
      </c>
      <c r="C135" s="184"/>
      <c r="D135" s="185"/>
      <c r="E135" s="62" t="s">
        <v>68</v>
      </c>
      <c r="F135" s="197">
        <f>STDEV(F127:F132)/F134</f>
        <v>3.3574512273793042E-3</v>
      </c>
      <c r="I135" s="54"/>
    </row>
    <row r="136" spans="1:10" ht="27" customHeight="1" thickBot="1" x14ac:dyDescent="0.45">
      <c r="A136" s="334" t="s">
        <v>63</v>
      </c>
      <c r="B136" s="338"/>
      <c r="C136" s="187"/>
      <c r="D136" s="188"/>
      <c r="E136" s="189" t="s">
        <v>20</v>
      </c>
      <c r="F136" s="198">
        <f>COUNT(F127:F132)</f>
        <v>6</v>
      </c>
      <c r="I136" s="54"/>
      <c r="J136" s="164"/>
    </row>
    <row r="137" spans="1:10" ht="19.5" customHeight="1" thickBot="1" x14ac:dyDescent="0.35">
      <c r="A137" s="336"/>
      <c r="B137" s="339"/>
      <c r="C137" s="54"/>
      <c r="D137" s="54"/>
      <c r="E137" s="54"/>
      <c r="F137" s="106"/>
      <c r="G137" s="54"/>
      <c r="H137" s="54"/>
      <c r="I137" s="54"/>
    </row>
    <row r="138" spans="1:10" ht="18.75" x14ac:dyDescent="0.3">
      <c r="A138" s="73"/>
      <c r="B138" s="73"/>
      <c r="C138" s="54"/>
      <c r="D138" s="54"/>
      <c r="E138" s="54"/>
      <c r="F138" s="106"/>
      <c r="G138" s="54"/>
      <c r="H138" s="54"/>
      <c r="I138" s="54"/>
    </row>
    <row r="139" spans="1:10" ht="26.25" customHeight="1" x14ac:dyDescent="0.4">
      <c r="A139" s="59" t="s">
        <v>118</v>
      </c>
      <c r="B139" s="62" t="s">
        <v>86</v>
      </c>
      <c r="C139" s="345" t="str">
        <f>B20</f>
        <v>ATAZANAVIR</v>
      </c>
      <c r="D139" s="345"/>
      <c r="E139" s="54" t="s">
        <v>87</v>
      </c>
      <c r="F139" s="54"/>
      <c r="G139" s="199">
        <f>F134</f>
        <v>1.0126825006454305</v>
      </c>
      <c r="H139" s="54"/>
      <c r="I139" s="54"/>
    </row>
    <row r="140" spans="1:10" ht="18.75" x14ac:dyDescent="0.3">
      <c r="A140" s="59"/>
      <c r="B140" s="62"/>
      <c r="C140" s="66"/>
      <c r="D140" s="66"/>
      <c r="E140" s="54"/>
      <c r="F140" s="54"/>
      <c r="G140" s="151"/>
      <c r="H140" s="54"/>
      <c r="I140" s="54"/>
    </row>
    <row r="141" spans="1:10" ht="19.5" customHeight="1" thickBot="1" x14ac:dyDescent="0.35">
      <c r="A141" s="200"/>
      <c r="B141" s="200"/>
      <c r="C141" s="201"/>
      <c r="D141" s="201"/>
      <c r="E141" s="201"/>
      <c r="F141" s="201"/>
      <c r="G141" s="201"/>
      <c r="H141" s="201"/>
    </row>
    <row r="142" spans="1:10" ht="18.75" x14ac:dyDescent="0.3">
      <c r="B142" s="346" t="s">
        <v>23</v>
      </c>
      <c r="C142" s="346"/>
      <c r="E142" s="155" t="s">
        <v>24</v>
      </c>
      <c r="F142" s="202"/>
      <c r="G142" s="346" t="s">
        <v>25</v>
      </c>
      <c r="H142" s="346"/>
    </row>
    <row r="143" spans="1:10" ht="83.1" customHeight="1" x14ac:dyDescent="0.3">
      <c r="A143" s="59" t="s">
        <v>26</v>
      </c>
      <c r="B143" s="203"/>
      <c r="C143" s="203"/>
      <c r="E143" s="204"/>
      <c r="F143" s="54"/>
      <c r="G143" s="204"/>
      <c r="H143" s="204"/>
    </row>
    <row r="144" spans="1:10" ht="83.1" customHeight="1" x14ac:dyDescent="0.3">
      <c r="A144" s="59" t="s">
        <v>27</v>
      </c>
      <c r="B144" s="205"/>
      <c r="C144" s="205"/>
      <c r="E144" s="206"/>
      <c r="F144" s="54"/>
      <c r="G144" s="207"/>
      <c r="H144" s="207"/>
    </row>
    <row r="145" spans="1:9" ht="18.75" x14ac:dyDescent="0.3">
      <c r="A145" s="106"/>
      <c r="B145" s="106"/>
      <c r="C145" s="106"/>
      <c r="D145" s="106"/>
      <c r="E145" s="106"/>
      <c r="F145" s="109"/>
      <c r="G145" s="106"/>
      <c r="H145" s="106"/>
      <c r="I145" s="54"/>
    </row>
    <row r="146" spans="1:9" ht="18.75" x14ac:dyDescent="0.3">
      <c r="A146" s="106"/>
      <c r="B146" s="106"/>
      <c r="C146" s="106"/>
      <c r="D146" s="106"/>
      <c r="E146" s="106"/>
      <c r="F146" s="109"/>
      <c r="G146" s="106"/>
      <c r="H146" s="106"/>
      <c r="I146" s="54"/>
    </row>
    <row r="147" spans="1:9" ht="18.75" x14ac:dyDescent="0.3">
      <c r="A147" s="106"/>
      <c r="B147" s="106"/>
      <c r="C147" s="106"/>
      <c r="D147" s="106"/>
      <c r="E147" s="106"/>
      <c r="F147" s="109"/>
      <c r="G147" s="106"/>
      <c r="H147" s="106"/>
      <c r="I147" s="54"/>
    </row>
    <row r="148" spans="1:9" ht="18.75" x14ac:dyDescent="0.3">
      <c r="A148" s="106"/>
      <c r="B148" s="106"/>
      <c r="C148" s="106"/>
      <c r="D148" s="106"/>
      <c r="E148" s="106"/>
      <c r="F148" s="109"/>
      <c r="G148" s="106"/>
      <c r="H148" s="106"/>
      <c r="I148" s="54"/>
    </row>
    <row r="149" spans="1:9" ht="18.75" x14ac:dyDescent="0.3">
      <c r="A149" s="106"/>
      <c r="B149" s="106"/>
      <c r="C149" s="106"/>
      <c r="D149" s="106"/>
      <c r="E149" s="106"/>
      <c r="F149" s="109"/>
      <c r="G149" s="106"/>
      <c r="H149" s="106"/>
      <c r="I149" s="54"/>
    </row>
    <row r="150" spans="1:9" ht="18.75" x14ac:dyDescent="0.3">
      <c r="A150" s="106"/>
      <c r="B150" s="106"/>
      <c r="C150" s="106"/>
      <c r="D150" s="106"/>
      <c r="E150" s="106"/>
      <c r="F150" s="109"/>
      <c r="G150" s="106"/>
      <c r="H150" s="106"/>
      <c r="I150" s="54"/>
    </row>
    <row r="151" spans="1:9" ht="18.75" x14ac:dyDescent="0.3">
      <c r="A151" s="106"/>
      <c r="B151" s="106"/>
      <c r="C151" s="106"/>
      <c r="D151" s="106"/>
      <c r="E151" s="106"/>
      <c r="F151" s="109"/>
      <c r="G151" s="106"/>
      <c r="H151" s="106"/>
      <c r="I151" s="54"/>
    </row>
    <row r="152" spans="1:9" ht="18.75" x14ac:dyDescent="0.3">
      <c r="A152" s="106"/>
      <c r="B152" s="106"/>
      <c r="C152" s="106"/>
      <c r="D152" s="106"/>
      <c r="E152" s="106"/>
      <c r="F152" s="109"/>
      <c r="G152" s="106"/>
      <c r="H152" s="106"/>
      <c r="I152" s="54"/>
    </row>
    <row r="153" spans="1:9" ht="18.75" x14ac:dyDescent="0.3">
      <c r="A153" s="106"/>
      <c r="B153" s="106"/>
      <c r="C153" s="106"/>
      <c r="D153" s="106"/>
      <c r="E153" s="106"/>
      <c r="F153" s="109"/>
      <c r="G153" s="106"/>
      <c r="H153" s="106"/>
      <c r="I153" s="54"/>
    </row>
    <row r="216" spans="1:1" x14ac:dyDescent="0.25">
      <c r="A216" s="48">
        <v>0</v>
      </c>
    </row>
  </sheetData>
  <sheetProtection formatCells="0" formatColumns="0"/>
  <mergeCells count="30">
    <mergeCell ref="B142:C142"/>
    <mergeCell ref="G142:H142"/>
    <mergeCell ref="C122:D122"/>
    <mergeCell ref="A136:B137"/>
    <mergeCell ref="C139:D139"/>
    <mergeCell ref="A119:B120"/>
    <mergeCell ref="C64:C67"/>
    <mergeCell ref="D64:D67"/>
    <mergeCell ref="C68:C71"/>
    <mergeCell ref="D68:D71"/>
    <mergeCell ref="A70:B71"/>
    <mergeCell ref="C76:D76"/>
    <mergeCell ref="C83:G83"/>
    <mergeCell ref="C86:H86"/>
    <mergeCell ref="C87:H87"/>
    <mergeCell ref="F91:G91"/>
    <mergeCell ref="A101:B102"/>
    <mergeCell ref="C60:C63"/>
    <mergeCell ref="D60:D63"/>
    <mergeCell ref="A1:H7"/>
    <mergeCell ref="A8:H14"/>
    <mergeCell ref="A16:H16"/>
    <mergeCell ref="B18:C18"/>
    <mergeCell ref="B21:H21"/>
    <mergeCell ref="C29:G29"/>
    <mergeCell ref="C31:H31"/>
    <mergeCell ref="C32:H32"/>
    <mergeCell ref="D36:E36"/>
    <mergeCell ref="F36:G36"/>
    <mergeCell ref="A46:B47"/>
  </mergeCells>
  <printOptions horizontalCentered="1" verticalCentered="1"/>
  <pageMargins left="0.7" right="0.7" top="0.75" bottom="0.75" header="0.3" footer="0.3"/>
  <pageSetup paperSize="9" scale="23" orientation="portrait" horizontalDpi="4294967295" verticalDpi="4294967295" r:id="rId1"/>
  <headerFooter alignWithMargins="0">
    <oddHeader>&amp;LVer 2</oddHeader>
    <oddFooter>&amp;LNQCL/ADDO/014&amp;C&amp;P of &amp;N&amp;R&amp;D &amp;T</oddFooter>
  </headerFooter>
  <rowBreaks count="1" manualBreakCount="1">
    <brk id="7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16"/>
  <sheetViews>
    <sheetView view="pageBreakPreview" topLeftCell="A116" zoomScale="55" zoomScaleNormal="75" zoomScaleSheetLayoutView="55" workbookViewId="0">
      <selection activeCell="F127" sqref="F127:F132"/>
    </sheetView>
  </sheetViews>
  <sheetFormatPr defaultRowHeight="13.5" x14ac:dyDescent="0.25"/>
  <cols>
    <col min="1" max="1" width="55.42578125" style="48" customWidth="1"/>
    <col min="2" max="2" width="33.7109375" style="48" customWidth="1"/>
    <col min="3" max="3" width="42.28515625" style="48" customWidth="1"/>
    <col min="4" max="4" width="30.5703125" style="48" customWidth="1"/>
    <col min="5" max="5" width="39.85546875" style="48" customWidth="1"/>
    <col min="6" max="6" width="30.7109375" style="48" customWidth="1"/>
    <col min="7" max="7" width="39.85546875" style="48" customWidth="1"/>
    <col min="8" max="8" width="41.140625" style="48" customWidth="1"/>
    <col min="9" max="9" width="30.28515625" style="48" customWidth="1"/>
    <col min="10" max="10" width="30.42578125" style="48" customWidth="1"/>
    <col min="11" max="11" width="21.28515625" style="48" customWidth="1"/>
    <col min="12" max="12" width="9.140625" style="48" customWidth="1"/>
    <col min="13" max="16384" width="9.140625" style="50"/>
  </cols>
  <sheetData>
    <row r="1" spans="1:8" x14ac:dyDescent="0.25">
      <c r="A1" s="318" t="s">
        <v>42</v>
      </c>
      <c r="B1" s="318"/>
      <c r="C1" s="318"/>
      <c r="D1" s="318"/>
      <c r="E1" s="318"/>
      <c r="F1" s="318"/>
      <c r="G1" s="318"/>
      <c r="H1" s="318"/>
    </row>
    <row r="2" spans="1:8" x14ac:dyDescent="0.25">
      <c r="A2" s="318"/>
      <c r="B2" s="318"/>
      <c r="C2" s="318"/>
      <c r="D2" s="318"/>
      <c r="E2" s="318"/>
      <c r="F2" s="318"/>
      <c r="G2" s="318"/>
      <c r="H2" s="318"/>
    </row>
    <row r="3" spans="1:8" x14ac:dyDescent="0.25">
      <c r="A3" s="318"/>
      <c r="B3" s="318"/>
      <c r="C3" s="318"/>
      <c r="D3" s="318"/>
      <c r="E3" s="318"/>
      <c r="F3" s="318"/>
      <c r="G3" s="318"/>
      <c r="H3" s="318"/>
    </row>
    <row r="4" spans="1:8" x14ac:dyDescent="0.25">
      <c r="A4" s="318"/>
      <c r="B4" s="318"/>
      <c r="C4" s="318"/>
      <c r="D4" s="318"/>
      <c r="E4" s="318"/>
      <c r="F4" s="318"/>
      <c r="G4" s="318"/>
      <c r="H4" s="318"/>
    </row>
    <row r="5" spans="1:8" x14ac:dyDescent="0.25">
      <c r="A5" s="318"/>
      <c r="B5" s="318"/>
      <c r="C5" s="318"/>
      <c r="D5" s="318"/>
      <c r="E5" s="318"/>
      <c r="F5" s="318"/>
      <c r="G5" s="318"/>
      <c r="H5" s="318"/>
    </row>
    <row r="6" spans="1:8" x14ac:dyDescent="0.25">
      <c r="A6" s="318"/>
      <c r="B6" s="318"/>
      <c r="C6" s="318"/>
      <c r="D6" s="318"/>
      <c r="E6" s="318"/>
      <c r="F6" s="318"/>
      <c r="G6" s="318"/>
      <c r="H6" s="318"/>
    </row>
    <row r="7" spans="1:8" x14ac:dyDescent="0.25">
      <c r="A7" s="318"/>
      <c r="B7" s="318"/>
      <c r="C7" s="318"/>
      <c r="D7" s="318"/>
      <c r="E7" s="318"/>
      <c r="F7" s="318"/>
      <c r="G7" s="318"/>
      <c r="H7" s="318"/>
    </row>
    <row r="8" spans="1:8" x14ac:dyDescent="0.25">
      <c r="A8" s="319" t="s">
        <v>43</v>
      </c>
      <c r="B8" s="319"/>
      <c r="C8" s="319"/>
      <c r="D8" s="319"/>
      <c r="E8" s="319"/>
      <c r="F8" s="319"/>
      <c r="G8" s="319"/>
      <c r="H8" s="319"/>
    </row>
    <row r="9" spans="1:8" x14ac:dyDescent="0.25">
      <c r="A9" s="319"/>
      <c r="B9" s="319"/>
      <c r="C9" s="319"/>
      <c r="D9" s="319"/>
      <c r="E9" s="319"/>
      <c r="F9" s="319"/>
      <c r="G9" s="319"/>
      <c r="H9" s="319"/>
    </row>
    <row r="10" spans="1:8" x14ac:dyDescent="0.25">
      <c r="A10" s="319"/>
      <c r="B10" s="319"/>
      <c r="C10" s="319"/>
      <c r="D10" s="319"/>
      <c r="E10" s="319"/>
      <c r="F10" s="319"/>
      <c r="G10" s="319"/>
      <c r="H10" s="319"/>
    </row>
    <row r="11" spans="1:8" x14ac:dyDescent="0.25">
      <c r="A11" s="319"/>
      <c r="B11" s="319"/>
      <c r="C11" s="319"/>
      <c r="D11" s="319"/>
      <c r="E11" s="319"/>
      <c r="F11" s="319"/>
      <c r="G11" s="319"/>
      <c r="H11" s="319"/>
    </row>
    <row r="12" spans="1:8" x14ac:dyDescent="0.25">
      <c r="A12" s="319"/>
      <c r="B12" s="319"/>
      <c r="C12" s="319"/>
      <c r="D12" s="319"/>
      <c r="E12" s="319"/>
      <c r="F12" s="319"/>
      <c r="G12" s="319"/>
      <c r="H12" s="319"/>
    </row>
    <row r="13" spans="1:8" x14ac:dyDescent="0.25">
      <c r="A13" s="319"/>
      <c r="B13" s="319"/>
      <c r="C13" s="319"/>
      <c r="D13" s="319"/>
      <c r="E13" s="319"/>
      <c r="F13" s="319"/>
      <c r="G13" s="319"/>
      <c r="H13" s="319"/>
    </row>
    <row r="14" spans="1:8" x14ac:dyDescent="0.25">
      <c r="A14" s="319"/>
      <c r="B14" s="319"/>
      <c r="C14" s="319"/>
      <c r="D14" s="319"/>
      <c r="E14" s="319"/>
      <c r="F14" s="319"/>
      <c r="G14" s="319"/>
      <c r="H14" s="319"/>
    </row>
    <row r="15" spans="1:8" ht="19.5" customHeight="1" thickBot="1" x14ac:dyDescent="0.3"/>
    <row r="16" spans="1:8" ht="19.5" customHeight="1" thickBot="1" x14ac:dyDescent="0.3">
      <c r="A16" s="320" t="s">
        <v>28</v>
      </c>
      <c r="B16" s="321"/>
      <c r="C16" s="321"/>
      <c r="D16" s="321"/>
      <c r="E16" s="321"/>
      <c r="F16" s="321"/>
      <c r="G16" s="321"/>
      <c r="H16" s="322"/>
    </row>
    <row r="17" spans="1:14" ht="18.75" x14ac:dyDescent="0.3">
      <c r="A17" s="49" t="s">
        <v>44</v>
      </c>
      <c r="B17" s="49"/>
    </row>
    <row r="18" spans="1:14" ht="18.75" x14ac:dyDescent="0.3">
      <c r="A18" s="51" t="s">
        <v>30</v>
      </c>
      <c r="B18" s="323" t="s">
        <v>94</v>
      </c>
      <c r="C18" s="323"/>
      <c r="D18" s="52"/>
      <c r="E18" s="52"/>
    </row>
    <row r="19" spans="1:14" ht="18.75" x14ac:dyDescent="0.3">
      <c r="A19" s="51" t="s">
        <v>31</v>
      </c>
      <c r="B19" s="53" t="s">
        <v>7</v>
      </c>
      <c r="C19" s="54">
        <v>24</v>
      </c>
    </row>
    <row r="20" spans="1:14" ht="18.75" x14ac:dyDescent="0.3">
      <c r="A20" s="51" t="s">
        <v>32</v>
      </c>
      <c r="B20" s="53" t="s">
        <v>88</v>
      </c>
    </row>
    <row r="21" spans="1:14" ht="26.25" x14ac:dyDescent="0.4">
      <c r="A21" s="51" t="s">
        <v>33</v>
      </c>
      <c r="B21" s="324" t="s">
        <v>11</v>
      </c>
      <c r="C21" s="324"/>
      <c r="D21" s="324"/>
      <c r="E21" s="324"/>
      <c r="F21" s="324"/>
      <c r="G21" s="324"/>
      <c r="H21" s="324"/>
      <c r="I21" s="55"/>
    </row>
    <row r="22" spans="1:14" ht="18.75" x14ac:dyDescent="0.3">
      <c r="A22" s="51" t="s">
        <v>34</v>
      </c>
      <c r="B22" s="56" t="s">
        <v>95</v>
      </c>
    </row>
    <row r="23" spans="1:14" ht="18.75" x14ac:dyDescent="0.3">
      <c r="A23" s="51" t="s">
        <v>35</v>
      </c>
      <c r="B23" s="56" t="s">
        <v>96</v>
      </c>
    </row>
    <row r="24" spans="1:14" ht="18.75" x14ac:dyDescent="0.3">
      <c r="A24" s="51"/>
      <c r="B24" s="57"/>
    </row>
    <row r="25" spans="1:14" ht="18.75" x14ac:dyDescent="0.3">
      <c r="A25" s="58" t="s">
        <v>1</v>
      </c>
      <c r="B25" s="57"/>
    </row>
    <row r="26" spans="1:14" ht="26.25" customHeight="1" x14ac:dyDescent="0.4">
      <c r="A26" s="59" t="s">
        <v>4</v>
      </c>
      <c r="B26" s="60" t="s">
        <v>125</v>
      </c>
      <c r="C26" s="61"/>
    </row>
    <row r="27" spans="1:14" ht="26.25" customHeight="1" x14ac:dyDescent="0.4">
      <c r="A27" s="62" t="s">
        <v>45</v>
      </c>
      <c r="B27" s="63" t="s">
        <v>130</v>
      </c>
    </row>
    <row r="28" spans="1:14" ht="27" customHeight="1" thickBot="1" x14ac:dyDescent="0.45">
      <c r="A28" s="62" t="s">
        <v>6</v>
      </c>
      <c r="B28" s="63">
        <v>99.3</v>
      </c>
    </row>
    <row r="29" spans="1:14" s="64" customFormat="1" ht="27" customHeight="1" thickBot="1" x14ac:dyDescent="0.45">
      <c r="A29" s="62" t="s">
        <v>46</v>
      </c>
      <c r="B29" s="63">
        <v>0</v>
      </c>
      <c r="C29" s="325" t="s">
        <v>47</v>
      </c>
      <c r="D29" s="326"/>
      <c r="E29" s="326"/>
      <c r="F29" s="326"/>
      <c r="G29" s="327"/>
      <c r="I29" s="65"/>
      <c r="J29" s="65"/>
      <c r="K29" s="65"/>
      <c r="L29" s="65"/>
    </row>
    <row r="30" spans="1:14" s="64" customFormat="1" ht="19.5" customHeight="1" thickBot="1" x14ac:dyDescent="0.35">
      <c r="A30" s="62" t="s">
        <v>48</v>
      </c>
      <c r="B30" s="66">
        <f>B28-B29</f>
        <v>99.3</v>
      </c>
      <c r="C30" s="67"/>
      <c r="D30" s="67"/>
      <c r="E30" s="67"/>
      <c r="F30" s="67"/>
      <c r="G30" s="68"/>
      <c r="I30" s="65"/>
      <c r="J30" s="65"/>
      <c r="K30" s="65"/>
      <c r="L30" s="65"/>
    </row>
    <row r="31" spans="1:14" s="64" customFormat="1" ht="27" customHeight="1" thickBot="1" x14ac:dyDescent="0.45">
      <c r="A31" s="62" t="s">
        <v>49</v>
      </c>
      <c r="B31" s="69">
        <v>1</v>
      </c>
      <c r="C31" s="328" t="s">
        <v>50</v>
      </c>
      <c r="D31" s="329"/>
      <c r="E31" s="329"/>
      <c r="F31" s="329"/>
      <c r="G31" s="329"/>
      <c r="H31" s="330"/>
      <c r="I31" s="65"/>
      <c r="J31" s="65"/>
      <c r="K31" s="65"/>
      <c r="L31" s="65"/>
    </row>
    <row r="32" spans="1:14" s="64" customFormat="1" ht="27" customHeight="1" thickBot="1" x14ac:dyDescent="0.45">
      <c r="A32" s="62" t="s">
        <v>51</v>
      </c>
      <c r="B32" s="69">
        <v>1</v>
      </c>
      <c r="C32" s="328" t="s">
        <v>52</v>
      </c>
      <c r="D32" s="329"/>
      <c r="E32" s="329"/>
      <c r="F32" s="329"/>
      <c r="G32" s="329"/>
      <c r="H32" s="330"/>
      <c r="I32" s="65"/>
      <c r="J32" s="65"/>
      <c r="K32" s="65"/>
      <c r="L32" s="70"/>
      <c r="M32" s="70"/>
      <c r="N32" s="71"/>
    </row>
    <row r="33" spans="1:14" s="64" customFormat="1" ht="17.25" customHeight="1" x14ac:dyDescent="0.3">
      <c r="A33" s="62"/>
      <c r="B33" s="72"/>
      <c r="C33" s="73"/>
      <c r="D33" s="73"/>
      <c r="E33" s="73"/>
      <c r="F33" s="73"/>
      <c r="G33" s="73"/>
      <c r="H33" s="73"/>
      <c r="I33" s="65"/>
      <c r="J33" s="65"/>
      <c r="K33" s="65"/>
      <c r="L33" s="70"/>
      <c r="M33" s="70"/>
      <c r="N33" s="71"/>
    </row>
    <row r="34" spans="1:14" s="64" customFormat="1" ht="18.75" x14ac:dyDescent="0.3">
      <c r="A34" s="62" t="s">
        <v>53</v>
      </c>
      <c r="B34" s="74">
        <f>B31/B32</f>
        <v>1</v>
      </c>
      <c r="C34" s="54" t="s">
        <v>54</v>
      </c>
      <c r="D34" s="54"/>
      <c r="E34" s="54"/>
      <c r="F34" s="54"/>
      <c r="G34" s="54"/>
      <c r="I34" s="65"/>
      <c r="J34" s="65"/>
      <c r="K34" s="65"/>
      <c r="L34" s="70"/>
      <c r="M34" s="70"/>
      <c r="N34" s="71"/>
    </row>
    <row r="35" spans="1:14" s="64" customFormat="1" ht="19.5" customHeight="1" thickBot="1" x14ac:dyDescent="0.35">
      <c r="A35" s="62"/>
      <c r="B35" s="66"/>
      <c r="G35" s="54"/>
      <c r="I35" s="65"/>
      <c r="J35" s="65"/>
      <c r="K35" s="65"/>
      <c r="L35" s="70"/>
      <c r="M35" s="70"/>
      <c r="N35" s="71"/>
    </row>
    <row r="36" spans="1:14" s="64" customFormat="1" ht="27" customHeight="1" thickBot="1" x14ac:dyDescent="0.45">
      <c r="A36" s="75" t="s">
        <v>98</v>
      </c>
      <c r="B36" s="76">
        <v>20</v>
      </c>
      <c r="C36" s="54"/>
      <c r="D36" s="331" t="s">
        <v>55</v>
      </c>
      <c r="E36" s="332"/>
      <c r="F36" s="331" t="s">
        <v>56</v>
      </c>
      <c r="G36" s="333"/>
      <c r="J36" s="65"/>
      <c r="K36" s="65"/>
      <c r="L36" s="70"/>
      <c r="M36" s="70"/>
      <c r="N36" s="71"/>
    </row>
    <row r="37" spans="1:14" s="64" customFormat="1" ht="15.75" customHeight="1" x14ac:dyDescent="0.4">
      <c r="A37" s="77" t="s">
        <v>99</v>
      </c>
      <c r="B37" s="78">
        <v>2</v>
      </c>
      <c r="C37" s="79" t="s">
        <v>100</v>
      </c>
      <c r="D37" s="80" t="s">
        <v>58</v>
      </c>
      <c r="E37" s="81" t="s">
        <v>59</v>
      </c>
      <c r="F37" s="80" t="s">
        <v>58</v>
      </c>
      <c r="G37" s="82" t="s">
        <v>59</v>
      </c>
      <c r="J37" s="65"/>
      <c r="K37" s="65"/>
      <c r="L37" s="70"/>
      <c r="M37" s="70"/>
      <c r="N37" s="71"/>
    </row>
    <row r="38" spans="1:14" s="64" customFormat="1" ht="26.25" customHeight="1" x14ac:dyDescent="0.4">
      <c r="A38" s="77" t="s">
        <v>101</v>
      </c>
      <c r="B38" s="78">
        <v>25</v>
      </c>
      <c r="C38" s="83">
        <v>1</v>
      </c>
      <c r="D38" s="84">
        <v>1587246</v>
      </c>
      <c r="E38" s="85">
        <f>IF(ISBLANK(D38),"-",$D$48/$D$45*D38)</f>
        <v>1706753.9036995231</v>
      </c>
      <c r="F38" s="84">
        <v>1738347</v>
      </c>
      <c r="G38" s="86">
        <f>IF(ISBLANK(F38),"-",$D$48/$F$45*F38)</f>
        <v>1695349.6753018638</v>
      </c>
      <c r="J38" s="65"/>
      <c r="K38" s="65"/>
      <c r="L38" s="70"/>
      <c r="M38" s="70"/>
      <c r="N38" s="71"/>
    </row>
    <row r="39" spans="1:14" s="64" customFormat="1" ht="26.25" customHeight="1" x14ac:dyDescent="0.4">
      <c r="A39" s="77" t="s">
        <v>102</v>
      </c>
      <c r="B39" s="78">
        <v>1</v>
      </c>
      <c r="C39" s="87">
        <v>2</v>
      </c>
      <c r="D39" s="88">
        <v>1584451</v>
      </c>
      <c r="E39" s="89">
        <f>IF(ISBLANK(D39),"-",$D$48/$D$45*D39)</f>
        <v>1703748.4608375849</v>
      </c>
      <c r="F39" s="88">
        <v>1737509</v>
      </c>
      <c r="G39" s="90">
        <f>IF(ISBLANK(F39),"-",$D$48/$F$45*F39)</f>
        <v>1694532.4029000343</v>
      </c>
      <c r="J39" s="65"/>
      <c r="K39" s="65"/>
      <c r="L39" s="70"/>
      <c r="M39" s="70"/>
      <c r="N39" s="71"/>
    </row>
    <row r="40" spans="1:14" ht="26.25" customHeight="1" x14ac:dyDescent="0.4">
      <c r="A40" s="77" t="s">
        <v>103</v>
      </c>
      <c r="B40" s="78">
        <v>1</v>
      </c>
      <c r="C40" s="87">
        <v>3</v>
      </c>
      <c r="D40" s="88">
        <v>1583116</v>
      </c>
      <c r="E40" s="89">
        <f>IF(ISBLANK(D40),"-",$D$48/$D$45*D40)</f>
        <v>1702312.9451951205</v>
      </c>
      <c r="F40" s="88">
        <v>1736562</v>
      </c>
      <c r="G40" s="90">
        <f>IF(ISBLANK(F40),"-",$D$48/$F$45*F40)</f>
        <v>1693608.8265700433</v>
      </c>
      <c r="L40" s="70"/>
      <c r="M40" s="70"/>
      <c r="N40" s="54"/>
    </row>
    <row r="41" spans="1:14" ht="26.25" customHeight="1" x14ac:dyDescent="0.4">
      <c r="A41" s="77" t="s">
        <v>104</v>
      </c>
      <c r="B41" s="78">
        <v>1</v>
      </c>
      <c r="C41" s="91">
        <v>4</v>
      </c>
      <c r="D41" s="92"/>
      <c r="E41" s="93" t="str">
        <f>IF(ISBLANK(D41),"-",$D$48/$D$45*D41)</f>
        <v>-</v>
      </c>
      <c r="F41" s="92"/>
      <c r="G41" s="94" t="str">
        <f>IF(ISBLANK(F41),"-",$D$48/$F$45*F41)</f>
        <v>-</v>
      </c>
      <c r="L41" s="70"/>
      <c r="M41" s="70"/>
      <c r="N41" s="54"/>
    </row>
    <row r="42" spans="1:14" ht="27" customHeight="1" thickBot="1" x14ac:dyDescent="0.45">
      <c r="A42" s="77" t="s">
        <v>105</v>
      </c>
      <c r="B42" s="78">
        <v>1</v>
      </c>
      <c r="C42" s="95" t="s">
        <v>60</v>
      </c>
      <c r="D42" s="96">
        <f>AVERAGE(D38:D41)</f>
        <v>1584937.6666666667</v>
      </c>
      <c r="E42" s="97">
        <f>AVERAGE(E38:E41)</f>
        <v>1704271.7699107428</v>
      </c>
      <c r="F42" s="98">
        <f>AVERAGE(F38:F41)</f>
        <v>1737472.6666666667</v>
      </c>
      <c r="G42" s="99">
        <f>AVERAGE(G38:G41)</f>
        <v>1694496.9682573138</v>
      </c>
      <c r="H42" s="100"/>
    </row>
    <row r="43" spans="1:14" ht="26.25" customHeight="1" x14ac:dyDescent="0.4">
      <c r="A43" s="77" t="s">
        <v>106</v>
      </c>
      <c r="B43" s="63">
        <v>1</v>
      </c>
      <c r="C43" s="101" t="s">
        <v>81</v>
      </c>
      <c r="D43" s="102">
        <v>13.65</v>
      </c>
      <c r="E43" s="54"/>
      <c r="F43" s="103">
        <v>15.05</v>
      </c>
      <c r="H43" s="100"/>
    </row>
    <row r="44" spans="1:14" ht="26.25" customHeight="1" x14ac:dyDescent="0.4">
      <c r="A44" s="77" t="s">
        <v>107</v>
      </c>
      <c r="B44" s="63">
        <v>1</v>
      </c>
      <c r="C44" s="104" t="s">
        <v>82</v>
      </c>
      <c r="D44" s="105">
        <f>D43*$B$34</f>
        <v>13.65</v>
      </c>
      <c r="E44" s="106"/>
      <c r="F44" s="107">
        <f>F43*$B$34</f>
        <v>15.05</v>
      </c>
      <c r="H44" s="100"/>
    </row>
    <row r="45" spans="1:14" ht="19.5" customHeight="1" thickBot="1" x14ac:dyDescent="0.35">
      <c r="A45" s="77" t="s">
        <v>61</v>
      </c>
      <c r="B45" s="66">
        <f>(B44/B43)*(B42/B41)*(B40/B39)*(B38/B37)*B36</f>
        <v>250</v>
      </c>
      <c r="C45" s="104" t="s">
        <v>62</v>
      </c>
      <c r="D45" s="108">
        <f>D44*$B$30/100</f>
        <v>13.554449999999999</v>
      </c>
      <c r="E45" s="109"/>
      <c r="F45" s="110">
        <f>F44*$B$30/100</f>
        <v>14.944649999999999</v>
      </c>
      <c r="H45" s="100"/>
    </row>
    <row r="46" spans="1:14" ht="19.5" customHeight="1" thickBot="1" x14ac:dyDescent="0.35">
      <c r="A46" s="334" t="s">
        <v>63</v>
      </c>
      <c r="B46" s="335"/>
      <c r="C46" s="104" t="s">
        <v>64</v>
      </c>
      <c r="D46" s="105">
        <f>D45/$B$45</f>
        <v>5.4217799999999997E-2</v>
      </c>
      <c r="E46" s="109"/>
      <c r="F46" s="111">
        <f>F45/$B$45</f>
        <v>5.9778599999999994E-2</v>
      </c>
      <c r="H46" s="100"/>
    </row>
    <row r="47" spans="1:14" ht="27" customHeight="1" thickBot="1" x14ac:dyDescent="0.45">
      <c r="A47" s="336"/>
      <c r="B47" s="337"/>
      <c r="C47" s="104" t="s">
        <v>108</v>
      </c>
      <c r="D47" s="112">
        <v>5.8299999999999998E-2</v>
      </c>
      <c r="F47" s="113"/>
      <c r="H47" s="100"/>
    </row>
    <row r="48" spans="1:14" ht="18.75" x14ac:dyDescent="0.3">
      <c r="C48" s="104" t="s">
        <v>65</v>
      </c>
      <c r="D48" s="105">
        <f>D47*$B$45</f>
        <v>14.574999999999999</v>
      </c>
      <c r="F48" s="113"/>
      <c r="H48" s="100"/>
    </row>
    <row r="49" spans="1:12" ht="19.5" customHeight="1" thickBot="1" x14ac:dyDescent="0.35">
      <c r="C49" s="114" t="s">
        <v>66</v>
      </c>
      <c r="D49" s="115">
        <f>D48/B34</f>
        <v>14.574999999999999</v>
      </c>
      <c r="F49" s="116"/>
      <c r="H49" s="100"/>
    </row>
    <row r="50" spans="1:12" ht="18.75" x14ac:dyDescent="0.3">
      <c r="C50" s="117" t="s">
        <v>67</v>
      </c>
      <c r="D50" s="118">
        <f>AVERAGE(E38:E41,G38:G41)</f>
        <v>1699384.3690840283</v>
      </c>
      <c r="F50" s="116"/>
      <c r="H50" s="100"/>
    </row>
    <row r="51" spans="1:12" ht="18.75" x14ac:dyDescent="0.3">
      <c r="C51" s="119" t="s">
        <v>68</v>
      </c>
      <c r="D51" s="120">
        <f>STDEV(E38:E41,G38:G41)/D50</f>
        <v>3.2774950200152183E-3</v>
      </c>
      <c r="F51" s="116"/>
    </row>
    <row r="52" spans="1:12" ht="19.5" customHeight="1" thickBot="1" x14ac:dyDescent="0.35">
      <c r="C52" s="121" t="s">
        <v>20</v>
      </c>
      <c r="D52" s="122">
        <f>COUNT(E38:E41,G38:G41)</f>
        <v>6</v>
      </c>
      <c r="F52" s="116"/>
    </row>
    <row r="54" spans="1:12" ht="18.75" x14ac:dyDescent="0.3">
      <c r="A54" s="49" t="s">
        <v>1</v>
      </c>
      <c r="B54" s="123" t="s">
        <v>69</v>
      </c>
    </row>
    <row r="55" spans="1:12" ht="18.75" x14ac:dyDescent="0.3">
      <c r="A55" s="54" t="s">
        <v>70</v>
      </c>
      <c r="B55" s="124" t="str">
        <f>B21</f>
        <v>Each film coated tablet contains: Atanazavir (as sulfate) equivalent to Atazanavir 300 mg and Ritonavir 100 mg.</v>
      </c>
    </row>
    <row r="56" spans="1:12" ht="26.25" customHeight="1" x14ac:dyDescent="0.4">
      <c r="A56" s="124" t="s">
        <v>71</v>
      </c>
      <c r="B56" s="63">
        <v>100</v>
      </c>
      <c r="C56" s="54" t="str">
        <f>B20</f>
        <v>RITONAVIR</v>
      </c>
      <c r="H56" s="106"/>
    </row>
    <row r="57" spans="1:12" ht="18.75" x14ac:dyDescent="0.3">
      <c r="A57" s="124" t="s">
        <v>72</v>
      </c>
      <c r="B57" s="125">
        <f>Uniformity!C46</f>
        <v>1955.2625000000007</v>
      </c>
      <c r="H57" s="106"/>
    </row>
    <row r="58" spans="1:12" ht="19.5" customHeight="1" thickBot="1" x14ac:dyDescent="0.35">
      <c r="H58" s="106"/>
    </row>
    <row r="59" spans="1:12" s="64" customFormat="1" ht="27" customHeight="1" thickBot="1" x14ac:dyDescent="0.45">
      <c r="A59" s="75" t="s">
        <v>109</v>
      </c>
      <c r="B59" s="76">
        <v>200</v>
      </c>
      <c r="C59" s="54"/>
      <c r="D59" s="126" t="s">
        <v>73</v>
      </c>
      <c r="E59" s="127" t="s">
        <v>57</v>
      </c>
      <c r="F59" s="127" t="s">
        <v>58</v>
      </c>
      <c r="G59" s="127" t="s">
        <v>74</v>
      </c>
      <c r="H59" s="79" t="s">
        <v>75</v>
      </c>
      <c r="L59" s="65"/>
    </row>
    <row r="60" spans="1:12" s="64" customFormat="1" ht="22.5" customHeight="1" x14ac:dyDescent="0.4">
      <c r="A60" s="77" t="s">
        <v>110</v>
      </c>
      <c r="B60" s="78">
        <v>3</v>
      </c>
      <c r="C60" s="312" t="s">
        <v>76</v>
      </c>
      <c r="D60" s="315">
        <v>1935.09</v>
      </c>
      <c r="E60" s="128">
        <v>1</v>
      </c>
      <c r="F60" s="129">
        <v>1763606</v>
      </c>
      <c r="G60" s="130">
        <f>IF(ISBLANK(F60),"-",(F60/$D$50*$D$47*$B$68)*($B$57/$D$60))</f>
        <v>101.88990449012867</v>
      </c>
      <c r="H60" s="131">
        <f t="shared" ref="H60:H71" si="0">IF(ISBLANK(F60),"-",G60/$B$56)</f>
        <v>1.0188990449012867</v>
      </c>
      <c r="L60" s="65"/>
    </row>
    <row r="61" spans="1:12" s="64" customFormat="1" ht="26.25" customHeight="1" x14ac:dyDescent="0.4">
      <c r="A61" s="77" t="s">
        <v>111</v>
      </c>
      <c r="B61" s="78">
        <v>25</v>
      </c>
      <c r="C61" s="313"/>
      <c r="D61" s="316"/>
      <c r="E61" s="132">
        <v>2</v>
      </c>
      <c r="F61" s="88">
        <v>1764012</v>
      </c>
      <c r="G61" s="133">
        <f>IF(ISBLANK(F61),"-",(F61/$D$50*$D$47*$B$68)*($B$57/$D$60))</f>
        <v>101.91336058022078</v>
      </c>
      <c r="H61" s="134">
        <f t="shared" si="0"/>
        <v>1.0191336058022078</v>
      </c>
      <c r="L61" s="65"/>
    </row>
    <row r="62" spans="1:12" s="64" customFormat="1" ht="26.25" customHeight="1" x14ac:dyDescent="0.4">
      <c r="A62" s="77" t="s">
        <v>112</v>
      </c>
      <c r="B62" s="78">
        <v>1</v>
      </c>
      <c r="C62" s="313"/>
      <c r="D62" s="316"/>
      <c r="E62" s="132">
        <v>3</v>
      </c>
      <c r="F62" s="88">
        <v>1764548</v>
      </c>
      <c r="G62" s="133">
        <f>IF(ISBLANK(F62),"-",(F62/$D$50*$D$47*$B$68)*($B$57/$D$60))</f>
        <v>101.94432724103204</v>
      </c>
      <c r="H62" s="134">
        <f t="shared" si="0"/>
        <v>1.0194432724103204</v>
      </c>
      <c r="L62" s="65"/>
    </row>
    <row r="63" spans="1:12" ht="21" customHeight="1" thickBot="1" x14ac:dyDescent="0.45">
      <c r="A63" s="77" t="s">
        <v>113</v>
      </c>
      <c r="B63" s="78">
        <v>1</v>
      </c>
      <c r="C63" s="314"/>
      <c r="D63" s="317"/>
      <c r="E63" s="135">
        <v>4</v>
      </c>
      <c r="F63" s="136"/>
      <c r="G63" s="133" t="str">
        <f>IF(ISBLANK(F63),"-",(F63/$D$50*$D$47*$B$68)*($B$57/$D$60))</f>
        <v>-</v>
      </c>
      <c r="H63" s="134" t="str">
        <f t="shared" si="0"/>
        <v>-</v>
      </c>
    </row>
    <row r="64" spans="1:12" ht="26.25" customHeight="1" x14ac:dyDescent="0.4">
      <c r="A64" s="77" t="s">
        <v>114</v>
      </c>
      <c r="B64" s="78">
        <v>1</v>
      </c>
      <c r="C64" s="312" t="s">
        <v>77</v>
      </c>
      <c r="D64" s="315">
        <v>1957.06</v>
      </c>
      <c r="E64" s="128">
        <v>1</v>
      </c>
      <c r="F64" s="129">
        <v>1803342</v>
      </c>
      <c r="G64" s="137">
        <f>IF(ISBLANK(F64),"-",(F64/$D$50*$D$47*$B$68)*($B$57/$D$64))</f>
        <v>103.0160072121284</v>
      </c>
      <c r="H64" s="138">
        <f t="shared" si="0"/>
        <v>1.030160072121284</v>
      </c>
    </row>
    <row r="65" spans="1:8" ht="26.25" customHeight="1" x14ac:dyDescent="0.4">
      <c r="A65" s="77" t="s">
        <v>115</v>
      </c>
      <c r="B65" s="78">
        <v>1</v>
      </c>
      <c r="C65" s="313"/>
      <c r="D65" s="316"/>
      <c r="E65" s="132">
        <v>2</v>
      </c>
      <c r="F65" s="88">
        <v>1802478</v>
      </c>
      <c r="G65" s="139">
        <f>IF(ISBLANK(F65),"-",(F65/$D$50*$D$47*$B$68)*($B$57/$D$64))</f>
        <v>102.9666511663915</v>
      </c>
      <c r="H65" s="140">
        <f t="shared" si="0"/>
        <v>1.029666511663915</v>
      </c>
    </row>
    <row r="66" spans="1:8" ht="26.25" customHeight="1" x14ac:dyDescent="0.4">
      <c r="A66" s="77" t="s">
        <v>116</v>
      </c>
      <c r="B66" s="78">
        <v>1</v>
      </c>
      <c r="C66" s="313"/>
      <c r="D66" s="316"/>
      <c r="E66" s="132">
        <v>3</v>
      </c>
      <c r="F66" s="88">
        <v>1801915</v>
      </c>
      <c r="G66" s="139">
        <f>IF(ISBLANK(F66),"-",(F66/$D$50*$D$47*$B$68)*($B$57/$D$64))</f>
        <v>102.9344897615884</v>
      </c>
      <c r="H66" s="140">
        <f t="shared" si="0"/>
        <v>1.0293448976158839</v>
      </c>
    </row>
    <row r="67" spans="1:8" ht="21" customHeight="1" thickBot="1" x14ac:dyDescent="0.45">
      <c r="A67" s="77" t="s">
        <v>117</v>
      </c>
      <c r="B67" s="78">
        <v>1</v>
      </c>
      <c r="C67" s="314"/>
      <c r="D67" s="317"/>
      <c r="E67" s="135">
        <v>4</v>
      </c>
      <c r="F67" s="136"/>
      <c r="G67" s="141" t="str">
        <f>IF(ISBLANK(F67),"-",(F67/$D$50*$D$47*$B$68)*($B$57/$D$64))</f>
        <v>-</v>
      </c>
      <c r="H67" s="142" t="str">
        <f t="shared" si="0"/>
        <v>-</v>
      </c>
    </row>
    <row r="68" spans="1:8" ht="21.75" customHeight="1" x14ac:dyDescent="0.4">
      <c r="A68" s="77" t="s">
        <v>78</v>
      </c>
      <c r="B68" s="143">
        <f>(B67/B66)*(B65/B64)*(B63/B62)*(B61/B60)*B59</f>
        <v>1666.6666666666667</v>
      </c>
      <c r="C68" s="312" t="s">
        <v>79</v>
      </c>
      <c r="D68" s="315">
        <v>1945.28</v>
      </c>
      <c r="E68" s="128">
        <v>1</v>
      </c>
      <c r="F68" s="129">
        <v>1778824</v>
      </c>
      <c r="G68" s="137">
        <f>IF(ISBLANK(F68),"-",(F68/$D$50*$D$47*$B$68)*($B$57/$D$68))</f>
        <v>102.23076595725215</v>
      </c>
      <c r="H68" s="134">
        <f t="shared" si="0"/>
        <v>1.0223076595725216</v>
      </c>
    </row>
    <row r="69" spans="1:8" ht="21.75" customHeight="1" thickBot="1" x14ac:dyDescent="0.45">
      <c r="A69" s="144" t="s">
        <v>80</v>
      </c>
      <c r="B69" s="145">
        <f>D47*B68/B56*B57</f>
        <v>1899.8633958333342</v>
      </c>
      <c r="C69" s="313"/>
      <c r="D69" s="316"/>
      <c r="E69" s="132">
        <v>2</v>
      </c>
      <c r="F69" s="88">
        <v>1780596</v>
      </c>
      <c r="G69" s="139">
        <f>IF(ISBLANK(F69),"-",(F69/$D$50*$D$47*$B$68)*($B$57/$D$68))</f>
        <v>102.33260454121334</v>
      </c>
      <c r="H69" s="134">
        <f t="shared" si="0"/>
        <v>1.0233260454121333</v>
      </c>
    </row>
    <row r="70" spans="1:8" ht="22.5" customHeight="1" x14ac:dyDescent="0.4">
      <c r="A70" s="341" t="s">
        <v>63</v>
      </c>
      <c r="B70" s="342"/>
      <c r="C70" s="313"/>
      <c r="D70" s="316"/>
      <c r="E70" s="132">
        <v>3</v>
      </c>
      <c r="F70" s="88">
        <v>1781220</v>
      </c>
      <c r="G70" s="139">
        <f>IF(ISBLANK(F70),"-",(F70/$D$50*$D$47*$B$68)*($B$57/$D$68))</f>
        <v>102.36846643533966</v>
      </c>
      <c r="H70" s="134">
        <f t="shared" si="0"/>
        <v>1.0236846643533966</v>
      </c>
    </row>
    <row r="71" spans="1:8" ht="21.75" customHeight="1" thickBot="1" x14ac:dyDescent="0.45">
      <c r="A71" s="343"/>
      <c r="B71" s="344"/>
      <c r="C71" s="340"/>
      <c r="D71" s="317"/>
      <c r="E71" s="135">
        <v>4</v>
      </c>
      <c r="F71" s="136"/>
      <c r="G71" s="141" t="str">
        <f>IF(ISBLANK(F71),"-",(F71/$D$50*$D$47*$B$68)*($B$57/$D$68))</f>
        <v>-</v>
      </c>
      <c r="H71" s="146" t="str">
        <f t="shared" si="0"/>
        <v>-</v>
      </c>
    </row>
    <row r="72" spans="1:8" ht="26.25" customHeight="1" x14ac:dyDescent="0.4">
      <c r="A72" s="106"/>
      <c r="B72" s="106"/>
      <c r="C72" s="106"/>
      <c r="D72" s="106"/>
      <c r="E72" s="106"/>
      <c r="F72" s="106"/>
      <c r="G72" s="147" t="s">
        <v>60</v>
      </c>
      <c r="H72" s="148">
        <f>AVERAGE(H60:H71)</f>
        <v>1.023996197094772</v>
      </c>
    </row>
    <row r="73" spans="1:8" ht="26.25" customHeight="1" x14ac:dyDescent="0.4">
      <c r="C73" s="106"/>
      <c r="D73" s="106"/>
      <c r="E73" s="106"/>
      <c r="F73" s="106"/>
      <c r="G73" s="119" t="s">
        <v>68</v>
      </c>
      <c r="H73" s="149">
        <f>STDEV(H60:H71)/H72</f>
        <v>4.5348146014347916E-3</v>
      </c>
    </row>
    <row r="74" spans="1:8" ht="27" customHeight="1" thickBot="1" x14ac:dyDescent="0.45">
      <c r="A74" s="106"/>
      <c r="B74" s="106"/>
      <c r="C74" s="106"/>
      <c r="D74" s="106"/>
      <c r="E74" s="109"/>
      <c r="F74" s="106"/>
      <c r="G74" s="121" t="s">
        <v>20</v>
      </c>
      <c r="H74" s="150">
        <f>COUNT(H60:H71)</f>
        <v>9</v>
      </c>
    </row>
    <row r="75" spans="1:8" ht="18.75" x14ac:dyDescent="0.3">
      <c r="A75" s="106"/>
      <c r="B75" s="106"/>
      <c r="C75" s="106"/>
      <c r="D75" s="106"/>
      <c r="E75" s="109"/>
      <c r="F75" s="106"/>
      <c r="G75" s="62"/>
      <c r="H75" s="66"/>
    </row>
    <row r="76" spans="1:8" ht="18.75" x14ac:dyDescent="0.3">
      <c r="A76" s="59" t="s">
        <v>118</v>
      </c>
      <c r="B76" s="62" t="s">
        <v>86</v>
      </c>
      <c r="C76" s="345" t="str">
        <f>B20</f>
        <v>RITONAVIR</v>
      </c>
      <c r="D76" s="345"/>
      <c r="E76" s="54" t="s">
        <v>119</v>
      </c>
      <c r="F76" s="54"/>
      <c r="G76" s="151">
        <f>H72</f>
        <v>1.023996197094772</v>
      </c>
      <c r="H76" s="66"/>
    </row>
    <row r="77" spans="1:8" ht="18.75" x14ac:dyDescent="0.3">
      <c r="A77" s="106"/>
      <c r="B77" s="106"/>
      <c r="C77" s="106"/>
      <c r="D77" s="106"/>
      <c r="E77" s="109"/>
      <c r="F77" s="106"/>
      <c r="G77" s="62"/>
      <c r="H77" s="66"/>
    </row>
    <row r="78" spans="1:8" ht="26.25" customHeight="1" x14ac:dyDescent="0.4">
      <c r="A78" s="58" t="s">
        <v>120</v>
      </c>
      <c r="B78" s="58" t="s">
        <v>121</v>
      </c>
      <c r="D78" s="152">
        <v>45</v>
      </c>
    </row>
    <row r="79" spans="1:8" ht="18.75" x14ac:dyDescent="0.3">
      <c r="A79" s="58"/>
      <c r="B79" s="58"/>
    </row>
    <row r="80" spans="1:8" ht="26.25" customHeight="1" x14ac:dyDescent="0.4">
      <c r="A80" s="59" t="s">
        <v>4</v>
      </c>
      <c r="B80" s="63" t="s">
        <v>125</v>
      </c>
      <c r="C80" s="61"/>
    </row>
    <row r="81" spans="1:12" ht="26.25" customHeight="1" x14ac:dyDescent="0.4">
      <c r="A81" s="62" t="s">
        <v>45</v>
      </c>
      <c r="B81" s="63" t="s">
        <v>126</v>
      </c>
    </row>
    <row r="82" spans="1:12" ht="27" customHeight="1" thickBot="1" x14ac:dyDescent="0.45">
      <c r="A82" s="62" t="s">
        <v>6</v>
      </c>
      <c r="B82" s="63">
        <v>99.2</v>
      </c>
    </row>
    <row r="83" spans="1:12" s="64" customFormat="1" ht="27" customHeight="1" thickBot="1" x14ac:dyDescent="0.45">
      <c r="A83" s="62" t="s">
        <v>46</v>
      </c>
      <c r="B83" s="63">
        <f>B29</f>
        <v>0</v>
      </c>
      <c r="C83" s="325" t="s">
        <v>47</v>
      </c>
      <c r="D83" s="326"/>
      <c r="E83" s="326"/>
      <c r="F83" s="326"/>
      <c r="G83" s="327"/>
      <c r="I83" s="65"/>
      <c r="J83" s="65"/>
      <c r="K83" s="65"/>
      <c r="L83" s="65"/>
    </row>
    <row r="84" spans="1:12" s="64" customFormat="1" ht="18.75" x14ac:dyDescent="0.3">
      <c r="A84" s="62" t="s">
        <v>48</v>
      </c>
      <c r="B84" s="66">
        <f>B82-B83</f>
        <v>99.2</v>
      </c>
      <c r="C84" s="67"/>
      <c r="D84" s="67"/>
      <c r="E84" s="67"/>
      <c r="F84" s="67"/>
      <c r="G84" s="68"/>
      <c r="I84" s="65"/>
      <c r="J84" s="65"/>
      <c r="K84" s="65"/>
      <c r="L84" s="65"/>
    </row>
    <row r="85" spans="1:12" s="64" customFormat="1" ht="19.5" customHeight="1" thickBot="1" x14ac:dyDescent="0.35">
      <c r="A85" s="62"/>
      <c r="B85" s="66"/>
      <c r="C85" s="67"/>
      <c r="D85" s="67"/>
      <c r="E85" s="67"/>
      <c r="F85" s="67"/>
      <c r="G85" s="68"/>
      <c r="I85" s="65"/>
      <c r="J85" s="65"/>
      <c r="K85" s="65"/>
      <c r="L85" s="65"/>
    </row>
    <row r="86" spans="1:12" s="64" customFormat="1" ht="27" customHeight="1" thickBot="1" x14ac:dyDescent="0.45">
      <c r="A86" s="62" t="s">
        <v>49</v>
      </c>
      <c r="B86" s="69">
        <v>1</v>
      </c>
      <c r="C86" s="328" t="s">
        <v>50</v>
      </c>
      <c r="D86" s="329"/>
      <c r="E86" s="329"/>
      <c r="F86" s="329"/>
      <c r="G86" s="329"/>
      <c r="H86" s="330"/>
      <c r="I86" s="65"/>
      <c r="J86" s="65"/>
      <c r="K86" s="65"/>
      <c r="L86" s="65"/>
    </row>
    <row r="87" spans="1:12" s="64" customFormat="1" ht="27" customHeight="1" thickBot="1" x14ac:dyDescent="0.45">
      <c r="A87" s="62" t="s">
        <v>51</v>
      </c>
      <c r="B87" s="69">
        <v>1</v>
      </c>
      <c r="C87" s="328" t="s">
        <v>52</v>
      </c>
      <c r="D87" s="329"/>
      <c r="E87" s="329"/>
      <c r="F87" s="329"/>
      <c r="G87" s="329"/>
      <c r="H87" s="330"/>
      <c r="I87" s="65"/>
      <c r="J87" s="65"/>
      <c r="K87" s="65"/>
      <c r="L87" s="65"/>
    </row>
    <row r="88" spans="1:12" s="64" customFormat="1" ht="18.75" x14ac:dyDescent="0.3">
      <c r="A88" s="62"/>
      <c r="B88" s="66"/>
      <c r="C88" s="67"/>
      <c r="D88" s="67"/>
      <c r="E88" s="67"/>
      <c r="F88" s="67"/>
      <c r="G88" s="68"/>
      <c r="I88" s="65"/>
      <c r="J88" s="65"/>
      <c r="K88" s="65"/>
      <c r="L88" s="65"/>
    </row>
    <row r="89" spans="1:12" ht="18.75" x14ac:dyDescent="0.3">
      <c r="A89" s="62" t="s">
        <v>53</v>
      </c>
      <c r="B89" s="74">
        <f>B86/B87</f>
        <v>1</v>
      </c>
      <c r="C89" s="54" t="s">
        <v>54</v>
      </c>
    </row>
    <row r="90" spans="1:12" ht="19.5" customHeight="1" thickBot="1" x14ac:dyDescent="0.35">
      <c r="A90" s="62"/>
      <c r="B90" s="74"/>
    </row>
    <row r="91" spans="1:12" ht="27" customHeight="1" thickBot="1" x14ac:dyDescent="0.45">
      <c r="A91" s="75" t="s">
        <v>98</v>
      </c>
      <c r="B91" s="76">
        <v>100</v>
      </c>
      <c r="D91" s="153" t="s">
        <v>55</v>
      </c>
      <c r="E91" s="154"/>
      <c r="F91" s="331" t="s">
        <v>56</v>
      </c>
      <c r="G91" s="333"/>
    </row>
    <row r="92" spans="1:12" ht="26.25" customHeight="1" x14ac:dyDescent="0.4">
      <c r="A92" s="77" t="s">
        <v>99</v>
      </c>
      <c r="B92" s="78">
        <v>1</v>
      </c>
      <c r="C92" s="155" t="s">
        <v>100</v>
      </c>
      <c r="D92" s="80" t="s">
        <v>58</v>
      </c>
      <c r="E92" s="81" t="s">
        <v>59</v>
      </c>
      <c r="F92" s="80" t="s">
        <v>58</v>
      </c>
      <c r="G92" s="82" t="s">
        <v>59</v>
      </c>
    </row>
    <row r="93" spans="1:12" ht="26.25" customHeight="1" x14ac:dyDescent="0.4">
      <c r="A93" s="77" t="s">
        <v>101</v>
      </c>
      <c r="B93" s="78">
        <v>1</v>
      </c>
      <c r="C93" s="156">
        <v>1</v>
      </c>
      <c r="D93" s="84">
        <v>1612237</v>
      </c>
      <c r="E93" s="85">
        <f>IF(ISBLANK(D93),"-",$D$103/$D$100*D93)</f>
        <v>1681397.5908238385</v>
      </c>
      <c r="F93" s="84">
        <v>1447294</v>
      </c>
      <c r="G93" s="86">
        <f>IF(ISBLANK(F93),"-",$D$103/$F$100*F93)</f>
        <v>1674662.2197043749</v>
      </c>
    </row>
    <row r="94" spans="1:12" ht="26.25" customHeight="1" x14ac:dyDescent="0.4">
      <c r="A94" s="77" t="s">
        <v>102</v>
      </c>
      <c r="B94" s="78">
        <v>1</v>
      </c>
      <c r="C94" s="106">
        <v>2</v>
      </c>
      <c r="D94" s="88">
        <v>1615827</v>
      </c>
      <c r="E94" s="89">
        <f>IF(ISBLANK(D94),"-",$D$103/$D$100*D94)</f>
        <v>1685141.5920786525</v>
      </c>
      <c r="F94" s="88">
        <v>1452920</v>
      </c>
      <c r="G94" s="90">
        <f>IF(ISBLANK(F94),"-",$D$103/$F$100*F94)</f>
        <v>1681172.0578216177</v>
      </c>
    </row>
    <row r="95" spans="1:12" ht="26.25" customHeight="1" x14ac:dyDescent="0.4">
      <c r="A95" s="77" t="s">
        <v>103</v>
      </c>
      <c r="B95" s="78">
        <v>1</v>
      </c>
      <c r="C95" s="106">
        <v>3</v>
      </c>
      <c r="D95" s="88">
        <v>1616037</v>
      </c>
      <c r="E95" s="89">
        <f>IF(ISBLANK(D95),"-",$D$103/$D$100*D95)</f>
        <v>1685360.6005086</v>
      </c>
      <c r="F95" s="88">
        <v>1445300</v>
      </c>
      <c r="G95" s="90">
        <f>IF(ISBLANK(F95),"-",$D$103/$F$100*F95)</f>
        <v>1672354.9646020317</v>
      </c>
    </row>
    <row r="96" spans="1:12" ht="26.25" customHeight="1" x14ac:dyDescent="0.4">
      <c r="A96" s="77" t="s">
        <v>104</v>
      </c>
      <c r="B96" s="78">
        <v>1</v>
      </c>
      <c r="C96" s="157">
        <v>4</v>
      </c>
      <c r="D96" s="92"/>
      <c r="E96" s="93" t="str">
        <f>IF(ISBLANK(D96),"-",$D$103/$D$100*D96)</f>
        <v>-</v>
      </c>
      <c r="F96" s="158"/>
      <c r="G96" s="94" t="str">
        <f>IF(ISBLANK(F96),"-",$D$103/$F$100*F96)</f>
        <v>-</v>
      </c>
    </row>
    <row r="97" spans="1:10" ht="27" customHeight="1" thickBot="1" x14ac:dyDescent="0.45">
      <c r="A97" s="77" t="s">
        <v>105</v>
      </c>
      <c r="B97" s="78">
        <v>1</v>
      </c>
      <c r="C97" s="62" t="s">
        <v>60</v>
      </c>
      <c r="D97" s="159">
        <f>AVERAGE(D93:D96)</f>
        <v>1614700.3333333333</v>
      </c>
      <c r="E97" s="97">
        <f>AVERAGE(E93:E96)</f>
        <v>1683966.5944703638</v>
      </c>
      <c r="F97" s="160">
        <f>AVERAGE(F93:F96)</f>
        <v>1448504.6666666667</v>
      </c>
      <c r="G97" s="161">
        <f>AVERAGE(G93:G96)</f>
        <v>1676063.0807093412</v>
      </c>
    </row>
    <row r="98" spans="1:10" ht="26.25" customHeight="1" x14ac:dyDescent="0.4">
      <c r="A98" s="77" t="s">
        <v>106</v>
      </c>
      <c r="B98" s="63">
        <v>1</v>
      </c>
      <c r="C98" s="101" t="s">
        <v>81</v>
      </c>
      <c r="D98" s="102">
        <v>10.74</v>
      </c>
      <c r="E98" s="54"/>
      <c r="F98" s="103">
        <v>9.68</v>
      </c>
    </row>
    <row r="99" spans="1:10" ht="26.25" customHeight="1" x14ac:dyDescent="0.4">
      <c r="A99" s="77" t="s">
        <v>107</v>
      </c>
      <c r="B99" s="63">
        <v>1</v>
      </c>
      <c r="C99" s="104" t="s">
        <v>82</v>
      </c>
      <c r="D99" s="105">
        <f>D98*$B$89</f>
        <v>10.74</v>
      </c>
      <c r="E99" s="106"/>
      <c r="F99" s="107">
        <f>F98*$B$89</f>
        <v>9.68</v>
      </c>
    </row>
    <row r="100" spans="1:10" ht="19.5" customHeight="1" thickBot="1" x14ac:dyDescent="0.35">
      <c r="A100" s="77" t="s">
        <v>61</v>
      </c>
      <c r="B100" s="66">
        <f>(B99/B98)*(B97/B96)*(B95/B94)*(B93/B92)*B91</f>
        <v>100</v>
      </c>
      <c r="C100" s="104" t="s">
        <v>62</v>
      </c>
      <c r="D100" s="108">
        <f>D99*$B$84/100</f>
        <v>10.65408</v>
      </c>
      <c r="E100" s="109"/>
      <c r="F100" s="110">
        <f>F99*$B$84/100</f>
        <v>9.6025600000000004</v>
      </c>
    </row>
    <row r="101" spans="1:10" ht="19.5" customHeight="1" thickBot="1" x14ac:dyDescent="0.35">
      <c r="A101" s="334" t="s">
        <v>63</v>
      </c>
      <c r="B101" s="335"/>
      <c r="C101" s="104" t="s">
        <v>64</v>
      </c>
      <c r="D101" s="105">
        <f>D100/$B$100</f>
        <v>0.1065408</v>
      </c>
      <c r="E101" s="109"/>
      <c r="F101" s="111">
        <f>F100/$B$100</f>
        <v>9.6025600000000003E-2</v>
      </c>
      <c r="H101" s="100"/>
    </row>
    <row r="102" spans="1:10" ht="19.5" customHeight="1" thickBot="1" x14ac:dyDescent="0.35">
      <c r="A102" s="336"/>
      <c r="B102" s="337"/>
      <c r="C102" s="104" t="s">
        <v>108</v>
      </c>
      <c r="D102" s="108">
        <f>$B$56/$B$118</f>
        <v>0.1111111111111111</v>
      </c>
      <c r="F102" s="113"/>
      <c r="G102" s="162"/>
      <c r="H102" s="100"/>
    </row>
    <row r="103" spans="1:10" ht="18.75" x14ac:dyDescent="0.3">
      <c r="C103" s="104" t="s">
        <v>65</v>
      </c>
      <c r="D103" s="105">
        <f>D102*$B$100</f>
        <v>11.111111111111111</v>
      </c>
      <c r="F103" s="113"/>
      <c r="H103" s="100"/>
    </row>
    <row r="104" spans="1:10" ht="19.5" customHeight="1" thickBot="1" x14ac:dyDescent="0.35">
      <c r="C104" s="114" t="s">
        <v>66</v>
      </c>
      <c r="D104" s="115">
        <f>D103/B34</f>
        <v>11.111111111111111</v>
      </c>
      <c r="F104" s="116"/>
      <c r="H104" s="100"/>
      <c r="J104" s="163"/>
    </row>
    <row r="105" spans="1:10" ht="18.75" x14ac:dyDescent="0.3">
      <c r="C105" s="117" t="s">
        <v>67</v>
      </c>
      <c r="D105" s="118">
        <f>AVERAGE(E93:E96,G93:G96)</f>
        <v>1680014.8375898525</v>
      </c>
      <c r="F105" s="116"/>
      <c r="G105" s="162"/>
      <c r="H105" s="100"/>
      <c r="J105" s="164"/>
    </row>
    <row r="106" spans="1:10" ht="18.75" x14ac:dyDescent="0.3">
      <c r="C106" s="119" t="s">
        <v>68</v>
      </c>
      <c r="D106" s="165">
        <f>STDEV(E93:E96,G93:G96)/D105</f>
        <v>3.210243947398867E-3</v>
      </c>
      <c r="F106" s="116"/>
      <c r="H106" s="100"/>
      <c r="J106" s="164"/>
    </row>
    <row r="107" spans="1:10" ht="19.5" customHeight="1" thickBot="1" x14ac:dyDescent="0.35">
      <c r="C107" s="121" t="s">
        <v>20</v>
      </c>
      <c r="D107" s="166">
        <f>COUNT(E93:E96,G93:G96)</f>
        <v>6</v>
      </c>
      <c r="F107" s="116"/>
      <c r="H107" s="100"/>
      <c r="J107" s="164"/>
    </row>
    <row r="108" spans="1:10" ht="19.5" customHeight="1" thickBot="1" x14ac:dyDescent="0.35">
      <c r="A108" s="49"/>
      <c r="B108" s="49"/>
      <c r="C108" s="49"/>
      <c r="D108" s="49"/>
      <c r="E108" s="49"/>
    </row>
    <row r="109" spans="1:10" ht="26.25" customHeight="1" x14ac:dyDescent="0.4">
      <c r="A109" s="75" t="s">
        <v>83</v>
      </c>
      <c r="B109" s="76">
        <v>900</v>
      </c>
      <c r="C109" s="153" t="s">
        <v>123</v>
      </c>
      <c r="D109" s="167" t="s">
        <v>58</v>
      </c>
      <c r="E109" s="168" t="s">
        <v>84</v>
      </c>
      <c r="F109" s="169" t="s">
        <v>85</v>
      </c>
    </row>
    <row r="110" spans="1:10" ht="26.25" customHeight="1" x14ac:dyDescent="0.4">
      <c r="A110" s="77" t="s">
        <v>110</v>
      </c>
      <c r="B110" s="78">
        <v>1</v>
      </c>
      <c r="C110" s="170">
        <v>1</v>
      </c>
      <c r="D110" s="171">
        <v>953667</v>
      </c>
      <c r="E110" s="172">
        <f t="shared" ref="E110:E115" si="1">IF(ISBLANK(D110),"-",D110/$D$105*$D$102*$B$118)</f>
        <v>56.765391510954132</v>
      </c>
      <c r="F110" s="173">
        <f t="shared" ref="F110:F115" si="2">IF(ISBLANK(D110), "-", E110/$B$56)</f>
        <v>0.56765391510954133</v>
      </c>
    </row>
    <row r="111" spans="1:10" ht="26.25" customHeight="1" x14ac:dyDescent="0.4">
      <c r="A111" s="77" t="s">
        <v>111</v>
      </c>
      <c r="B111" s="78">
        <v>1</v>
      </c>
      <c r="C111" s="170">
        <v>2</v>
      </c>
      <c r="D111" s="171">
        <v>946015</v>
      </c>
      <c r="E111" s="174">
        <f t="shared" si="1"/>
        <v>56.309919343162001</v>
      </c>
      <c r="F111" s="175">
        <f t="shared" si="2"/>
        <v>0.56309919343161996</v>
      </c>
    </row>
    <row r="112" spans="1:10" ht="26.25" customHeight="1" x14ac:dyDescent="0.4">
      <c r="A112" s="77" t="s">
        <v>112</v>
      </c>
      <c r="B112" s="78">
        <v>1</v>
      </c>
      <c r="C112" s="170">
        <v>3</v>
      </c>
      <c r="D112" s="171">
        <v>946699</v>
      </c>
      <c r="E112" s="174">
        <f t="shared" si="1"/>
        <v>56.35063326929501</v>
      </c>
      <c r="F112" s="175">
        <f t="shared" si="2"/>
        <v>0.56350633269295014</v>
      </c>
    </row>
    <row r="113" spans="1:10" ht="26.25" customHeight="1" x14ac:dyDescent="0.4">
      <c r="A113" s="77" t="s">
        <v>113</v>
      </c>
      <c r="B113" s="78">
        <v>1</v>
      </c>
      <c r="C113" s="170">
        <v>4</v>
      </c>
      <c r="D113" s="171">
        <v>954601</v>
      </c>
      <c r="E113" s="174">
        <f t="shared" si="1"/>
        <v>56.820986258042197</v>
      </c>
      <c r="F113" s="175">
        <f t="shared" si="2"/>
        <v>0.56820986258042194</v>
      </c>
    </row>
    <row r="114" spans="1:10" ht="26.25" customHeight="1" x14ac:dyDescent="0.4">
      <c r="A114" s="77" t="s">
        <v>114</v>
      </c>
      <c r="B114" s="78">
        <v>1</v>
      </c>
      <c r="C114" s="170">
        <v>5</v>
      </c>
      <c r="D114" s="171">
        <v>949398</v>
      </c>
      <c r="E114" s="174">
        <f t="shared" si="1"/>
        <v>56.511286612325712</v>
      </c>
      <c r="F114" s="175">
        <f t="shared" si="2"/>
        <v>0.56511286612325717</v>
      </c>
    </row>
    <row r="115" spans="1:10" ht="26.25" customHeight="1" x14ac:dyDescent="0.4">
      <c r="A115" s="77" t="s">
        <v>115</v>
      </c>
      <c r="B115" s="78">
        <v>1</v>
      </c>
      <c r="C115" s="176">
        <v>6</v>
      </c>
      <c r="D115" s="177">
        <v>951204</v>
      </c>
      <c r="E115" s="178">
        <f t="shared" si="1"/>
        <v>56.618785662904983</v>
      </c>
      <c r="F115" s="179">
        <f t="shared" si="2"/>
        <v>0.5661878566290498</v>
      </c>
    </row>
    <row r="116" spans="1:10" ht="26.25" customHeight="1" x14ac:dyDescent="0.4">
      <c r="A116" s="77" t="s">
        <v>116</v>
      </c>
      <c r="B116" s="78">
        <v>1</v>
      </c>
      <c r="C116" s="170"/>
      <c r="D116" s="106"/>
      <c r="E116" s="54"/>
      <c r="F116" s="180"/>
    </row>
    <row r="117" spans="1:10" ht="26.25" customHeight="1" x14ac:dyDescent="0.4">
      <c r="A117" s="77" t="s">
        <v>117</v>
      </c>
      <c r="B117" s="78">
        <v>1</v>
      </c>
      <c r="C117" s="170"/>
      <c r="D117" s="181"/>
      <c r="E117" s="182" t="s">
        <v>60</v>
      </c>
      <c r="F117" s="183">
        <f>AVERAGE(F110:F115)</f>
        <v>0.56562833776114008</v>
      </c>
    </row>
    <row r="118" spans="1:10" ht="19.5" customHeight="1" thickBot="1" x14ac:dyDescent="0.35">
      <c r="A118" s="77" t="s">
        <v>78</v>
      </c>
      <c r="B118" s="143">
        <f>(B117/B116)*(B115/B114)*(B113/B112)*(B111/B110)*B109</f>
        <v>900</v>
      </c>
      <c r="C118" s="184"/>
      <c r="D118" s="185"/>
      <c r="E118" s="62" t="s">
        <v>68</v>
      </c>
      <c r="F118" s="186">
        <f>STDEV(F110:F115)/F117</f>
        <v>3.7291062498717269E-3</v>
      </c>
      <c r="I118" s="54"/>
    </row>
    <row r="119" spans="1:10" ht="19.5" customHeight="1" thickBot="1" x14ac:dyDescent="0.35">
      <c r="A119" s="334" t="s">
        <v>63</v>
      </c>
      <c r="B119" s="338"/>
      <c r="C119" s="187"/>
      <c r="D119" s="188"/>
      <c r="E119" s="189" t="s">
        <v>20</v>
      </c>
      <c r="F119" s="166">
        <f>COUNT(F110:F115)</f>
        <v>6</v>
      </c>
      <c r="I119" s="54"/>
      <c r="J119" s="164"/>
    </row>
    <row r="120" spans="1:10" ht="19.5" customHeight="1" thickBot="1" x14ac:dyDescent="0.35">
      <c r="A120" s="336"/>
      <c r="B120" s="339"/>
      <c r="C120" s="54"/>
      <c r="D120" s="54"/>
      <c r="E120" s="54"/>
      <c r="F120" s="106"/>
      <c r="G120" s="54"/>
      <c r="H120" s="54"/>
      <c r="I120" s="54"/>
    </row>
    <row r="121" spans="1:10" ht="18.75" x14ac:dyDescent="0.3">
      <c r="A121" s="73"/>
      <c r="B121" s="73"/>
      <c r="C121" s="54"/>
      <c r="D121" s="54"/>
      <c r="E121" s="54"/>
      <c r="F121" s="106"/>
      <c r="G121" s="54"/>
      <c r="H121" s="54"/>
      <c r="I121" s="54"/>
    </row>
    <row r="122" spans="1:10" ht="18.75" x14ac:dyDescent="0.3">
      <c r="A122" s="59" t="s">
        <v>118</v>
      </c>
      <c r="B122" s="62" t="s">
        <v>86</v>
      </c>
      <c r="C122" s="345" t="str">
        <f>B20</f>
        <v>RITONAVIR</v>
      </c>
      <c r="D122" s="345"/>
      <c r="E122" s="54" t="s">
        <v>87</v>
      </c>
      <c r="F122" s="54"/>
      <c r="G122" s="151">
        <f>F117</f>
        <v>0.56562833776114008</v>
      </c>
      <c r="H122" s="54"/>
      <c r="I122" s="54"/>
    </row>
    <row r="123" spans="1:10" ht="18.75" x14ac:dyDescent="0.3">
      <c r="A123" s="73"/>
      <c r="B123" s="73"/>
      <c r="C123" s="54"/>
      <c r="D123" s="54"/>
      <c r="E123" s="54"/>
      <c r="F123" s="106"/>
      <c r="G123" s="54"/>
      <c r="H123" s="54"/>
      <c r="I123" s="54"/>
    </row>
    <row r="124" spans="1:10" ht="26.25" customHeight="1" x14ac:dyDescent="0.4">
      <c r="A124" s="58" t="s">
        <v>120</v>
      </c>
      <c r="B124" s="58" t="s">
        <v>121</v>
      </c>
      <c r="D124" s="152" t="s">
        <v>124</v>
      </c>
    </row>
    <row r="125" spans="1:10" ht="19.5" customHeight="1" thickBot="1" x14ac:dyDescent="0.35">
      <c r="A125" s="49"/>
      <c r="B125" s="49"/>
      <c r="C125" s="49"/>
      <c r="D125" s="49"/>
      <c r="E125" s="49"/>
    </row>
    <row r="126" spans="1:10" ht="26.25" customHeight="1" x14ac:dyDescent="0.4">
      <c r="A126" s="75" t="s">
        <v>83</v>
      </c>
      <c r="B126" s="76">
        <v>900</v>
      </c>
      <c r="C126" s="153" t="s">
        <v>123</v>
      </c>
      <c r="D126" s="167" t="s">
        <v>58</v>
      </c>
      <c r="E126" s="168" t="s">
        <v>84</v>
      </c>
      <c r="F126" s="169" t="s">
        <v>85</v>
      </c>
    </row>
    <row r="127" spans="1:10" ht="26.25" customHeight="1" x14ac:dyDescent="0.4">
      <c r="A127" s="77" t="s">
        <v>110</v>
      </c>
      <c r="B127" s="78">
        <v>1</v>
      </c>
      <c r="C127" s="170">
        <v>1</v>
      </c>
      <c r="D127" s="171">
        <v>1471895</v>
      </c>
      <c r="E127" s="190">
        <f t="shared" ref="E127:E132" si="3">IF(ISBLANK(D127),"-",D127/$D$105*$D$102*$B$135)</f>
        <v>87.61202383852627</v>
      </c>
      <c r="F127" s="191">
        <f t="shared" ref="F127:F132" si="4">IF(ISBLANK(D127), "-", E127/$B$56)</f>
        <v>0.87612023838526265</v>
      </c>
    </row>
    <row r="128" spans="1:10" ht="26.25" customHeight="1" x14ac:dyDescent="0.4">
      <c r="A128" s="77" t="s">
        <v>111</v>
      </c>
      <c r="B128" s="78">
        <v>1</v>
      </c>
      <c r="C128" s="170">
        <v>2</v>
      </c>
      <c r="D128" s="171">
        <v>1463013</v>
      </c>
      <c r="E128" s="192">
        <f t="shared" si="3"/>
        <v>87.083338031635293</v>
      </c>
      <c r="F128" s="193">
        <f t="shared" si="4"/>
        <v>0.87083338031635293</v>
      </c>
    </row>
    <row r="129" spans="1:10" ht="26.25" customHeight="1" x14ac:dyDescent="0.4">
      <c r="A129" s="77" t="s">
        <v>112</v>
      </c>
      <c r="B129" s="78">
        <v>1</v>
      </c>
      <c r="C129" s="170">
        <v>3</v>
      </c>
      <c r="D129" s="171">
        <v>1460877</v>
      </c>
      <c r="E129" s="192">
        <f t="shared" si="3"/>
        <v>86.956196297395365</v>
      </c>
      <c r="F129" s="193">
        <f t="shared" si="4"/>
        <v>0.86956196297395361</v>
      </c>
    </row>
    <row r="130" spans="1:10" ht="26.25" customHeight="1" x14ac:dyDescent="0.4">
      <c r="A130" s="77" t="s">
        <v>113</v>
      </c>
      <c r="B130" s="78">
        <v>1</v>
      </c>
      <c r="C130" s="170">
        <v>4</v>
      </c>
      <c r="D130" s="171">
        <v>1460963</v>
      </c>
      <c r="E130" s="192">
        <f t="shared" si="3"/>
        <v>86.9613152998039</v>
      </c>
      <c r="F130" s="193">
        <f t="shared" si="4"/>
        <v>0.86961315299803899</v>
      </c>
    </row>
    <row r="131" spans="1:10" ht="26.25" customHeight="1" x14ac:dyDescent="0.4">
      <c r="A131" s="77" t="s">
        <v>114</v>
      </c>
      <c r="B131" s="78">
        <v>1</v>
      </c>
      <c r="C131" s="170">
        <v>5</v>
      </c>
      <c r="D131" s="171">
        <v>1461530</v>
      </c>
      <c r="E131" s="192">
        <f t="shared" si="3"/>
        <v>86.995065001729941</v>
      </c>
      <c r="F131" s="193">
        <f t="shared" si="4"/>
        <v>0.86995065001729943</v>
      </c>
    </row>
    <row r="132" spans="1:10" ht="26.25" customHeight="1" x14ac:dyDescent="0.4">
      <c r="A132" s="77" t="s">
        <v>115</v>
      </c>
      <c r="B132" s="78">
        <v>1</v>
      </c>
      <c r="C132" s="176">
        <v>6</v>
      </c>
      <c r="D132" s="177">
        <v>1458719</v>
      </c>
      <c r="E132" s="194">
        <f t="shared" si="3"/>
        <v>86.827745050911361</v>
      </c>
      <c r="F132" s="195">
        <f t="shared" si="4"/>
        <v>0.86827745050911365</v>
      </c>
    </row>
    <row r="133" spans="1:10" ht="26.25" customHeight="1" x14ac:dyDescent="0.4">
      <c r="A133" s="77" t="s">
        <v>116</v>
      </c>
      <c r="B133" s="78">
        <v>1</v>
      </c>
      <c r="C133" s="170"/>
      <c r="D133" s="106"/>
      <c r="E133" s="54"/>
      <c r="F133" s="180"/>
    </row>
    <row r="134" spans="1:10" ht="26.25" customHeight="1" x14ac:dyDescent="0.4">
      <c r="A134" s="77" t="s">
        <v>117</v>
      </c>
      <c r="B134" s="78">
        <v>1</v>
      </c>
      <c r="C134" s="170"/>
      <c r="D134" s="181"/>
      <c r="E134" s="182" t="s">
        <v>60</v>
      </c>
      <c r="F134" s="196">
        <f>AVERAGE(F127:F132)</f>
        <v>0.87072613920000352</v>
      </c>
    </row>
    <row r="135" spans="1:10" ht="27" customHeight="1" thickBot="1" x14ac:dyDescent="0.45">
      <c r="A135" s="77" t="s">
        <v>78</v>
      </c>
      <c r="B135" s="78">
        <f>(B134/B133)*(B132/B131)*(B130/B129)*(B128/B127)*B126</f>
        <v>900</v>
      </c>
      <c r="C135" s="184"/>
      <c r="D135" s="185"/>
      <c r="E135" s="62" t="s">
        <v>68</v>
      </c>
      <c r="F135" s="197">
        <f>STDEV(F127:F132)/F134</f>
        <v>3.1785488941496621E-3</v>
      </c>
      <c r="I135" s="54"/>
    </row>
    <row r="136" spans="1:10" ht="27" customHeight="1" thickBot="1" x14ac:dyDescent="0.45">
      <c r="A136" s="334" t="s">
        <v>63</v>
      </c>
      <c r="B136" s="338"/>
      <c r="C136" s="187"/>
      <c r="D136" s="188"/>
      <c r="E136" s="189" t="s">
        <v>20</v>
      </c>
      <c r="F136" s="198">
        <f>COUNT(F127:F132)</f>
        <v>6</v>
      </c>
      <c r="I136" s="54"/>
      <c r="J136" s="164"/>
    </row>
    <row r="137" spans="1:10" ht="19.5" customHeight="1" thickBot="1" x14ac:dyDescent="0.35">
      <c r="A137" s="336"/>
      <c r="B137" s="339"/>
      <c r="C137" s="54"/>
      <c r="D137" s="54"/>
      <c r="E137" s="54"/>
      <c r="F137" s="106"/>
      <c r="G137" s="54"/>
      <c r="H137" s="54"/>
      <c r="I137" s="54"/>
    </row>
    <row r="138" spans="1:10" ht="18.75" x14ac:dyDescent="0.3">
      <c r="A138" s="73"/>
      <c r="B138" s="73"/>
      <c r="C138" s="54"/>
      <c r="D138" s="54"/>
      <c r="E138" s="54"/>
      <c r="F138" s="106"/>
      <c r="G138" s="54"/>
      <c r="H138" s="54"/>
      <c r="I138" s="54"/>
    </row>
    <row r="139" spans="1:10" ht="26.25" customHeight="1" x14ac:dyDescent="0.4">
      <c r="A139" s="59" t="s">
        <v>118</v>
      </c>
      <c r="B139" s="62" t="s">
        <v>86</v>
      </c>
      <c r="C139" s="345" t="str">
        <f>B20</f>
        <v>RITONAVIR</v>
      </c>
      <c r="D139" s="345"/>
      <c r="E139" s="54" t="s">
        <v>87</v>
      </c>
      <c r="F139" s="54"/>
      <c r="G139" s="199">
        <f>F134</f>
        <v>0.87072613920000352</v>
      </c>
      <c r="H139" s="54"/>
      <c r="I139" s="54"/>
    </row>
    <row r="140" spans="1:10" ht="18.75" x14ac:dyDescent="0.3">
      <c r="A140" s="59"/>
      <c r="B140" s="62"/>
      <c r="C140" s="66"/>
      <c r="D140" s="66"/>
      <c r="E140" s="54"/>
      <c r="F140" s="54"/>
      <c r="G140" s="151"/>
      <c r="H140" s="54"/>
      <c r="I140" s="54"/>
    </row>
    <row r="141" spans="1:10" ht="19.5" customHeight="1" thickBot="1" x14ac:dyDescent="0.35">
      <c r="A141" s="200"/>
      <c r="B141" s="200"/>
      <c r="C141" s="201"/>
      <c r="D141" s="201"/>
      <c r="E141" s="201"/>
      <c r="F141" s="201"/>
      <c r="G141" s="201"/>
      <c r="H141" s="201"/>
    </row>
    <row r="142" spans="1:10" ht="18.75" x14ac:dyDescent="0.3">
      <c r="B142" s="346" t="s">
        <v>23</v>
      </c>
      <c r="C142" s="346"/>
      <c r="E142" s="155" t="s">
        <v>24</v>
      </c>
      <c r="F142" s="202"/>
      <c r="G142" s="346" t="s">
        <v>25</v>
      </c>
      <c r="H142" s="346"/>
    </row>
    <row r="143" spans="1:10" ht="83.1" customHeight="1" x14ac:dyDescent="0.3">
      <c r="A143" s="59" t="s">
        <v>26</v>
      </c>
      <c r="B143" s="203"/>
      <c r="C143" s="203"/>
      <c r="E143" s="204"/>
      <c r="F143" s="54"/>
      <c r="G143" s="204"/>
      <c r="H143" s="204"/>
    </row>
    <row r="144" spans="1:10" ht="83.1" customHeight="1" x14ac:dyDescent="0.3">
      <c r="A144" s="59" t="s">
        <v>27</v>
      </c>
      <c r="B144" s="205"/>
      <c r="C144" s="205"/>
      <c r="E144" s="206"/>
      <c r="F144" s="54"/>
      <c r="G144" s="207"/>
      <c r="H144" s="207"/>
    </row>
    <row r="145" spans="1:9" ht="18.75" x14ac:dyDescent="0.3">
      <c r="A145" s="106"/>
      <c r="B145" s="106"/>
      <c r="C145" s="106"/>
      <c r="D145" s="106"/>
      <c r="E145" s="106"/>
      <c r="F145" s="109"/>
      <c r="G145" s="106"/>
      <c r="H145" s="106"/>
      <c r="I145" s="54"/>
    </row>
    <row r="146" spans="1:9" ht="18.75" x14ac:dyDescent="0.3">
      <c r="A146" s="106"/>
      <c r="B146" s="106"/>
      <c r="C146" s="106"/>
      <c r="D146" s="106"/>
      <c r="E146" s="106"/>
      <c r="F146" s="109"/>
      <c r="G146" s="106"/>
      <c r="H146" s="106"/>
      <c r="I146" s="54"/>
    </row>
    <row r="147" spans="1:9" ht="18.75" x14ac:dyDescent="0.3">
      <c r="A147" s="106"/>
      <c r="B147" s="106"/>
      <c r="C147" s="106"/>
      <c r="D147" s="106"/>
      <c r="E147" s="106"/>
      <c r="F147" s="109"/>
      <c r="G147" s="106"/>
      <c r="H147" s="106"/>
      <c r="I147" s="54"/>
    </row>
    <row r="148" spans="1:9" ht="18.75" x14ac:dyDescent="0.3">
      <c r="A148" s="106"/>
      <c r="B148" s="106"/>
      <c r="C148" s="106"/>
      <c r="D148" s="106"/>
      <c r="E148" s="106"/>
      <c r="F148" s="109"/>
      <c r="G148" s="106"/>
      <c r="H148" s="106"/>
      <c r="I148" s="54"/>
    </row>
    <row r="149" spans="1:9" ht="18.75" x14ac:dyDescent="0.3">
      <c r="A149" s="106"/>
      <c r="B149" s="106"/>
      <c r="C149" s="106"/>
      <c r="D149" s="106"/>
      <c r="E149" s="106"/>
      <c r="F149" s="109"/>
      <c r="G149" s="106"/>
      <c r="H149" s="106"/>
      <c r="I149" s="54"/>
    </row>
    <row r="150" spans="1:9" ht="18.75" x14ac:dyDescent="0.3">
      <c r="A150" s="106"/>
      <c r="B150" s="106"/>
      <c r="C150" s="106"/>
      <c r="D150" s="106"/>
      <c r="E150" s="106"/>
      <c r="F150" s="109"/>
      <c r="G150" s="106"/>
      <c r="H150" s="106"/>
      <c r="I150" s="54"/>
    </row>
    <row r="151" spans="1:9" ht="18.75" x14ac:dyDescent="0.3">
      <c r="A151" s="106"/>
      <c r="B151" s="106"/>
      <c r="C151" s="106"/>
      <c r="D151" s="106"/>
      <c r="E151" s="106"/>
      <c r="F151" s="109"/>
      <c r="G151" s="106"/>
      <c r="H151" s="106"/>
      <c r="I151" s="54"/>
    </row>
    <row r="152" spans="1:9" ht="18.75" x14ac:dyDescent="0.3">
      <c r="A152" s="106"/>
      <c r="B152" s="106"/>
      <c r="C152" s="106"/>
      <c r="D152" s="106"/>
      <c r="E152" s="106"/>
      <c r="F152" s="109"/>
      <c r="G152" s="106"/>
      <c r="H152" s="106"/>
      <c r="I152" s="54"/>
    </row>
    <row r="153" spans="1:9" ht="18.75" x14ac:dyDescent="0.3">
      <c r="A153" s="106"/>
      <c r="B153" s="106"/>
      <c r="C153" s="106"/>
      <c r="D153" s="106"/>
      <c r="E153" s="106"/>
      <c r="F153" s="109"/>
      <c r="G153" s="106"/>
      <c r="H153" s="106"/>
      <c r="I153" s="54"/>
    </row>
    <row r="216" spans="1:1" x14ac:dyDescent="0.25">
      <c r="A216" s="48">
        <v>0</v>
      </c>
    </row>
  </sheetData>
  <sheetProtection formatCells="0" formatColumns="0"/>
  <mergeCells count="30">
    <mergeCell ref="B142:C142"/>
    <mergeCell ref="G142:H142"/>
    <mergeCell ref="C122:D122"/>
    <mergeCell ref="A136:B137"/>
    <mergeCell ref="C139:D139"/>
    <mergeCell ref="A119:B120"/>
    <mergeCell ref="C64:C67"/>
    <mergeCell ref="D64:D67"/>
    <mergeCell ref="C68:C71"/>
    <mergeCell ref="D68:D71"/>
    <mergeCell ref="A70:B71"/>
    <mergeCell ref="C76:D76"/>
    <mergeCell ref="C83:G83"/>
    <mergeCell ref="C86:H86"/>
    <mergeCell ref="C87:H87"/>
    <mergeCell ref="F91:G91"/>
    <mergeCell ref="A101:B102"/>
    <mergeCell ref="C60:C63"/>
    <mergeCell ref="D60:D63"/>
    <mergeCell ref="A1:H7"/>
    <mergeCell ref="A8:H14"/>
    <mergeCell ref="A16:H16"/>
    <mergeCell ref="B18:C18"/>
    <mergeCell ref="B21:H21"/>
    <mergeCell ref="C29:G29"/>
    <mergeCell ref="C31:H31"/>
    <mergeCell ref="C32:H32"/>
    <mergeCell ref="D36:E36"/>
    <mergeCell ref="F36:G36"/>
    <mergeCell ref="A46:B47"/>
  </mergeCells>
  <printOptions horizontalCentered="1" verticalCentered="1"/>
  <pageMargins left="0.7" right="0.7" top="0.75" bottom="0.75" header="0.3" footer="0.3"/>
  <pageSetup paperSize="9" scale="23" orientation="portrait" horizontalDpi="4294967295" verticalDpi="4294967295" r:id="rId1"/>
  <headerFooter alignWithMargins="0">
    <oddHeader>&amp;LVer 2</oddHeader>
    <oddFooter>&amp;LNQCL/ADDO/014&amp;C&amp;P of &amp;N&amp;R&amp;D &amp;T</oddFooter>
  </headerFooter>
  <rowBreaks count="1" manualBreakCount="1">
    <brk id="7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2" workbookViewId="0">
      <selection activeCell="G41" sqref="G41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50" t="s">
        <v>28</v>
      </c>
      <c r="B11" s="351"/>
      <c r="C11" s="351"/>
      <c r="D11" s="351"/>
      <c r="E11" s="351"/>
      <c r="F11" s="352"/>
      <c r="G11" s="41"/>
    </row>
    <row r="12" spans="1:7" ht="16.5" customHeight="1" x14ac:dyDescent="0.3">
      <c r="A12" s="349" t="s">
        <v>29</v>
      </c>
      <c r="B12" s="349"/>
      <c r="C12" s="349"/>
      <c r="D12" s="349"/>
      <c r="E12" s="349"/>
      <c r="F12" s="349"/>
      <c r="G12" s="40"/>
    </row>
    <row r="14" spans="1:7" ht="16.5" customHeight="1" x14ac:dyDescent="0.3">
      <c r="A14" s="354" t="s">
        <v>30</v>
      </c>
      <c r="B14" s="354"/>
      <c r="C14" s="10" t="s">
        <v>5</v>
      </c>
    </row>
    <row r="15" spans="1:7" ht="16.5" customHeight="1" x14ac:dyDescent="0.3">
      <c r="A15" s="354" t="s">
        <v>31</v>
      </c>
      <c r="B15" s="354"/>
      <c r="C15" s="10" t="s">
        <v>7</v>
      </c>
    </row>
    <row r="16" spans="1:7" ht="16.5" customHeight="1" x14ac:dyDescent="0.3">
      <c r="A16" s="354" t="s">
        <v>32</v>
      </c>
      <c r="B16" s="354"/>
      <c r="C16" s="10" t="s">
        <v>9</v>
      </c>
    </row>
    <row r="17" spans="1:5" ht="16.5" customHeight="1" x14ac:dyDescent="0.3">
      <c r="A17" s="354" t="s">
        <v>33</v>
      </c>
      <c r="B17" s="354"/>
      <c r="C17" s="10" t="s">
        <v>11</v>
      </c>
    </row>
    <row r="18" spans="1:5" ht="16.5" customHeight="1" x14ac:dyDescent="0.3">
      <c r="A18" s="354" t="s">
        <v>34</v>
      </c>
      <c r="B18" s="354"/>
      <c r="C18" s="47" t="s">
        <v>12</v>
      </c>
    </row>
    <row r="19" spans="1:5" ht="16.5" customHeight="1" x14ac:dyDescent="0.3">
      <c r="A19" s="354" t="s">
        <v>35</v>
      </c>
      <c r="B19" s="354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349" t="s">
        <v>1</v>
      </c>
      <c r="B21" s="349"/>
      <c r="C21" s="9" t="s">
        <v>36</v>
      </c>
      <c r="D21" s="16"/>
    </row>
    <row r="22" spans="1:5" ht="15.75" customHeight="1" x14ac:dyDescent="0.3">
      <c r="A22" s="353"/>
      <c r="B22" s="353"/>
      <c r="C22" s="7"/>
      <c r="D22" s="353"/>
      <c r="E22" s="353"/>
    </row>
    <row r="23" spans="1:5" ht="33.75" customHeight="1" x14ac:dyDescent="0.3">
      <c r="C23" s="36" t="s">
        <v>37</v>
      </c>
      <c r="D23" s="35" t="s">
        <v>38</v>
      </c>
      <c r="E23" s="2"/>
    </row>
    <row r="24" spans="1:5" ht="15.75" customHeight="1" x14ac:dyDescent="0.3">
      <c r="C24" s="45">
        <v>1957.53</v>
      </c>
      <c r="D24" s="37">
        <f t="shared" ref="D24:D43" si="0">(C24-$C$46)/$C$46</f>
        <v>1.1596908343504998E-3</v>
      </c>
      <c r="E24" s="3"/>
    </row>
    <row r="25" spans="1:5" ht="15.75" customHeight="1" x14ac:dyDescent="0.3">
      <c r="C25" s="45">
        <v>2004.77</v>
      </c>
      <c r="D25" s="38">
        <f t="shared" si="0"/>
        <v>2.5320129650110528E-2</v>
      </c>
      <c r="E25" s="3"/>
    </row>
    <row r="26" spans="1:5" ht="15.75" customHeight="1" x14ac:dyDescent="0.3">
      <c r="C26" s="45">
        <v>1983.76</v>
      </c>
      <c r="D26" s="38">
        <f t="shared" si="0"/>
        <v>1.4574769372398464E-2</v>
      </c>
      <c r="E26" s="3"/>
    </row>
    <row r="27" spans="1:5" ht="15.75" customHeight="1" x14ac:dyDescent="0.3">
      <c r="C27" s="45">
        <v>1974.66</v>
      </c>
      <c r="D27" s="38">
        <f t="shared" si="0"/>
        <v>9.9206628266022313E-3</v>
      </c>
      <c r="E27" s="3"/>
    </row>
    <row r="28" spans="1:5" ht="15.75" customHeight="1" x14ac:dyDescent="0.3">
      <c r="C28" s="45">
        <v>1971.78</v>
      </c>
      <c r="D28" s="38">
        <f t="shared" si="0"/>
        <v>8.4477148208996176E-3</v>
      </c>
      <c r="E28" s="3"/>
    </row>
    <row r="29" spans="1:5" ht="15.75" customHeight="1" x14ac:dyDescent="0.3">
      <c r="C29" s="45">
        <v>1928.53</v>
      </c>
      <c r="D29" s="38">
        <f t="shared" si="0"/>
        <v>-1.3672077278626652E-2</v>
      </c>
      <c r="E29" s="3"/>
    </row>
    <row r="30" spans="1:5" ht="15.75" customHeight="1" x14ac:dyDescent="0.3">
      <c r="C30" s="45">
        <v>1978.4</v>
      </c>
      <c r="D30" s="38">
        <f t="shared" si="0"/>
        <v>1.1833449472896532E-2</v>
      </c>
      <c r="E30" s="3"/>
    </row>
    <row r="31" spans="1:5" ht="15.75" customHeight="1" x14ac:dyDescent="0.3">
      <c r="C31" s="45">
        <v>1922.35</v>
      </c>
      <c r="D31" s="38">
        <f t="shared" si="0"/>
        <v>-1.6832778207530093E-2</v>
      </c>
      <c r="E31" s="3"/>
    </row>
    <row r="32" spans="1:5" ht="15.75" customHeight="1" x14ac:dyDescent="0.3">
      <c r="C32" s="45">
        <v>1975.91</v>
      </c>
      <c r="D32" s="38">
        <f t="shared" si="0"/>
        <v>1.0559963176299524E-2</v>
      </c>
      <c r="E32" s="3"/>
    </row>
    <row r="33" spans="1:7" ht="15.75" customHeight="1" x14ac:dyDescent="0.3">
      <c r="C33" s="45">
        <v>1899.2</v>
      </c>
      <c r="D33" s="38">
        <f t="shared" si="0"/>
        <v>-2.8672620683923851E-2</v>
      </c>
      <c r="E33" s="3"/>
    </row>
    <row r="34" spans="1:7" ht="15.75" customHeight="1" x14ac:dyDescent="0.3">
      <c r="C34" s="45">
        <v>1951.75</v>
      </c>
      <c r="D34" s="38">
        <f t="shared" si="0"/>
        <v>-1.79643398264976E-3</v>
      </c>
      <c r="E34" s="3"/>
    </row>
    <row r="35" spans="1:7" ht="15.75" customHeight="1" x14ac:dyDescent="0.3">
      <c r="C35" s="45">
        <v>1916.67</v>
      </c>
      <c r="D35" s="38">
        <f t="shared" si="0"/>
        <v>-1.97377589965545E-2</v>
      </c>
      <c r="E35" s="3"/>
    </row>
    <row r="36" spans="1:7" ht="15.75" customHeight="1" x14ac:dyDescent="0.3">
      <c r="C36" s="45">
        <v>1976.79</v>
      </c>
      <c r="D36" s="38">
        <f t="shared" si="0"/>
        <v>1.1010030622486356E-2</v>
      </c>
      <c r="E36" s="3"/>
    </row>
    <row r="37" spans="1:7" ht="15.75" customHeight="1" x14ac:dyDescent="0.3">
      <c r="C37" s="45">
        <v>1943.18</v>
      </c>
      <c r="D37" s="38">
        <f t="shared" si="0"/>
        <v>-6.1794771801743547E-3</v>
      </c>
      <c r="E37" s="3"/>
    </row>
    <row r="38" spans="1:7" ht="15.75" customHeight="1" x14ac:dyDescent="0.3">
      <c r="C38" s="45">
        <v>1989.77</v>
      </c>
      <c r="D38" s="38">
        <f t="shared" si="0"/>
        <v>1.7648525453743034E-2</v>
      </c>
      <c r="E38" s="3"/>
    </row>
    <row r="39" spans="1:7" ht="15.75" customHeight="1" x14ac:dyDescent="0.3">
      <c r="C39" s="45">
        <v>1941.7</v>
      </c>
      <c r="D39" s="38">
        <f t="shared" si="0"/>
        <v>-6.9364087942159567E-3</v>
      </c>
      <c r="E39" s="3"/>
    </row>
    <row r="40" spans="1:7" ht="15.75" customHeight="1" x14ac:dyDescent="0.3">
      <c r="C40" s="45">
        <v>1970.4</v>
      </c>
      <c r="D40" s="38">
        <f t="shared" si="0"/>
        <v>7.7419272348338694E-3</v>
      </c>
      <c r="E40" s="3"/>
    </row>
    <row r="41" spans="1:7" ht="15.75" customHeight="1" x14ac:dyDescent="0.3">
      <c r="C41" s="45">
        <v>1967.5</v>
      </c>
      <c r="D41" s="38">
        <f t="shared" si="0"/>
        <v>6.2587504235361077E-3</v>
      </c>
      <c r="E41" s="3"/>
    </row>
    <row r="42" spans="1:7" ht="15.75" customHeight="1" x14ac:dyDescent="0.3">
      <c r="C42" s="45">
        <v>1964.8</v>
      </c>
      <c r="D42" s="38">
        <f t="shared" si="0"/>
        <v>4.8778616681899355E-3</v>
      </c>
      <c r="E42" s="3"/>
    </row>
    <row r="43" spans="1:7" ht="16.5" customHeight="1" x14ac:dyDescent="0.3">
      <c r="C43" s="46">
        <v>1885.8</v>
      </c>
      <c r="D43" s="39">
        <f t="shared" si="0"/>
        <v>-3.5525920432678861E-2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39</v>
      </c>
      <c r="C45" s="33">
        <f>SUM(C24:C44)</f>
        <v>39105.250000000015</v>
      </c>
      <c r="D45" s="28"/>
      <c r="E45" s="4"/>
    </row>
    <row r="46" spans="1:7" ht="17.25" customHeight="1" x14ac:dyDescent="0.3">
      <c r="B46" s="32" t="s">
        <v>40</v>
      </c>
      <c r="C46" s="34">
        <f>AVERAGE(C24:C44)</f>
        <v>1955.2625000000007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40</v>
      </c>
      <c r="C48" s="35" t="s">
        <v>41</v>
      </c>
      <c r="D48" s="30"/>
      <c r="G48" s="8"/>
    </row>
    <row r="49" spans="1:6" ht="17.25" customHeight="1" x14ac:dyDescent="0.3">
      <c r="B49" s="347">
        <f>C46</f>
        <v>1955.2625000000007</v>
      </c>
      <c r="C49" s="43">
        <f>-IF(C46&lt;=80,10%,IF(C46&lt;250,7.5%,5%))</f>
        <v>-0.05</v>
      </c>
      <c r="D49" s="31">
        <f>IF(C46&lt;=80,C46*0.9,IF(C46&lt;250,C46*0.925,C46*0.95))</f>
        <v>1857.4993750000006</v>
      </c>
    </row>
    <row r="50" spans="1:6" ht="17.25" customHeight="1" x14ac:dyDescent="0.3">
      <c r="B50" s="348"/>
      <c r="C50" s="44">
        <f>IF(C46&lt;=80, 10%, IF(C46&lt;250, 7.5%, 5%))</f>
        <v>0.05</v>
      </c>
      <c r="D50" s="31">
        <f>IF(C46&lt;=80, C46*1.1, IF(C46&lt;250, C46*1.075, C46*1.05))</f>
        <v>2053.0256250000007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23</v>
      </c>
      <c r="C52" s="17"/>
      <c r="D52" s="18" t="s">
        <v>24</v>
      </c>
      <c r="E52" s="19"/>
      <c r="F52" s="18" t="s">
        <v>25</v>
      </c>
    </row>
    <row r="53" spans="1:6" ht="34.5" customHeight="1" x14ac:dyDescent="0.3">
      <c r="A53" s="20" t="s">
        <v>26</v>
      </c>
      <c r="B53" s="21"/>
      <c r="C53" s="22"/>
      <c r="D53" s="21"/>
      <c r="E53" s="11"/>
      <c r="F53" s="23"/>
    </row>
    <row r="54" spans="1:6" ht="34.5" customHeight="1" x14ac:dyDescent="0.3">
      <c r="A54" s="20" t="s">
        <v>27</v>
      </c>
      <c r="B54" s="24"/>
      <c r="C54" s="25"/>
      <c r="D54" s="24"/>
      <c r="E54" s="11"/>
      <c r="F54" s="2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RITONAVIR</vt:lpstr>
      <vt:lpstr>SST ATAZANAVIR</vt:lpstr>
      <vt:lpstr>Atazanavir 1</vt:lpstr>
      <vt:lpstr>RITONAVIR 1</vt:lpstr>
      <vt:lpstr>Uniformity</vt:lpstr>
      <vt:lpstr>'Atazanavir 1'!Print_Area</vt:lpstr>
      <vt:lpstr>'RITONAVIR 1'!Print_Area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Dr. Ernest Mbae</cp:lastModifiedBy>
  <cp:lastPrinted>2018-03-01T06:36:44Z</cp:lastPrinted>
  <dcterms:created xsi:type="dcterms:W3CDTF">2005-07-05T10:19:27Z</dcterms:created>
  <dcterms:modified xsi:type="dcterms:W3CDTF">2018-03-01T06:49:03Z</dcterms:modified>
</cp:coreProperties>
</file>