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3"/>
  </bookViews>
  <sheets>
    <sheet name="SST TRIMETHOPRIM" sheetId="5" r:id="rId1"/>
    <sheet name="SST SULFAMETHOXAZOLE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1">'SST SULFAMETHOXAZOLE'!$A$15:$G$62</definedName>
    <definedName name="_xlnm.Print_Area" localSheetId="0">'SST TRIMETHOPRIM'!$A$15:$G$62</definedName>
    <definedName name="_xlnm.Print_Area" localSheetId="3">SULFAMETHOXAZOLE!$A$1:$I$131</definedName>
    <definedName name="_xlnm.Print_Area" localSheetId="4">TRIMETHOPRIM!$A$1:$I$130</definedName>
    <definedName name="_xlnm.Print_Area" localSheetId="2">Uniformity!$A$12:$H$55</definedName>
  </definedNames>
  <calcPr calcId="162913"/>
</workbook>
</file>

<file path=xl/calcChain.xml><?xml version="1.0" encoding="utf-8"?>
<calcChain xmlns="http://schemas.openxmlformats.org/spreadsheetml/2006/main">
  <c r="B53" i="6" l="1"/>
  <c r="F51" i="6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 s="1"/>
  <c r="D101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43" i="2"/>
  <c r="D33" i="2"/>
  <c r="D29" i="2"/>
  <c r="D25" i="2"/>
  <c r="C19" i="2"/>
  <c r="D27" i="2" l="1"/>
  <c r="D35" i="2"/>
  <c r="D37" i="2"/>
  <c r="D31" i="2"/>
  <c r="D39" i="2"/>
  <c r="D49" i="3"/>
  <c r="I92" i="4"/>
  <c r="I39" i="4"/>
  <c r="F44" i="4"/>
  <c r="F45" i="4" s="1"/>
  <c r="D45" i="4"/>
  <c r="E39" i="4" s="1"/>
  <c r="D101" i="3"/>
  <c r="I39" i="3"/>
  <c r="I92" i="3"/>
  <c r="F44" i="3"/>
  <c r="F45" i="3" s="1"/>
  <c r="G41" i="3" s="1"/>
  <c r="D45" i="3"/>
  <c r="D46" i="3" s="1"/>
  <c r="D102" i="3"/>
  <c r="F98" i="3"/>
  <c r="F99" i="3" s="1"/>
  <c r="B69" i="4"/>
  <c r="E38" i="3"/>
  <c r="F98" i="4"/>
  <c r="G94" i="4" s="1"/>
  <c r="D97" i="4"/>
  <c r="D98" i="4" s="1"/>
  <c r="C49" i="2"/>
  <c r="D24" i="2"/>
  <c r="D28" i="2"/>
  <c r="D32" i="2"/>
  <c r="D36" i="2"/>
  <c r="D40" i="2"/>
  <c r="D49" i="2"/>
  <c r="B57" i="3"/>
  <c r="B69" i="3" s="1"/>
  <c r="D49" i="4"/>
  <c r="E92" i="4"/>
  <c r="D102" i="4"/>
  <c r="D41" i="2"/>
  <c r="D97" i="3"/>
  <c r="D98" i="3" s="1"/>
  <c r="D99" i="3" s="1"/>
  <c r="C50" i="2"/>
  <c r="D26" i="2"/>
  <c r="D30" i="2"/>
  <c r="D34" i="2"/>
  <c r="D38" i="2"/>
  <c r="D42" i="2"/>
  <c r="B49" i="2"/>
  <c r="D50" i="2"/>
  <c r="E91" i="4"/>
  <c r="G41" i="4" l="1"/>
  <c r="G40" i="4"/>
  <c r="F46" i="4"/>
  <c r="E41" i="4"/>
  <c r="E40" i="4"/>
  <c r="G38" i="4"/>
  <c r="E38" i="4"/>
  <c r="D46" i="4"/>
  <c r="G39" i="4"/>
  <c r="G93" i="4"/>
  <c r="E40" i="3"/>
  <c r="E39" i="3"/>
  <c r="E41" i="3"/>
  <c r="G40" i="3"/>
  <c r="G39" i="3"/>
  <c r="G38" i="3"/>
  <c r="F46" i="3"/>
  <c r="F99" i="4"/>
  <c r="G92" i="4"/>
  <c r="G91" i="4"/>
  <c r="G92" i="3"/>
  <c r="G91" i="3"/>
  <c r="E94" i="3"/>
  <c r="E93" i="3"/>
  <c r="E94" i="4"/>
  <c r="D99" i="4"/>
  <c r="E93" i="4"/>
  <c r="E91" i="3"/>
  <c r="E92" i="3"/>
  <c r="G94" i="3"/>
  <c r="G93" i="3"/>
  <c r="E95" i="4" l="1"/>
  <c r="G42" i="3"/>
  <c r="D105" i="4"/>
  <c r="D50" i="4"/>
  <c r="G65" i="4" s="1"/>
  <c r="H65" i="4" s="1"/>
  <c r="E42" i="4"/>
  <c r="G42" i="4"/>
  <c r="D52" i="4"/>
  <c r="G95" i="4"/>
  <c r="D103" i="4"/>
  <c r="E109" i="4" s="1"/>
  <c r="F109" i="4" s="1"/>
  <c r="E42" i="3"/>
  <c r="D50" i="3"/>
  <c r="G64" i="3" s="1"/>
  <c r="H64" i="3" s="1"/>
  <c r="D52" i="3"/>
  <c r="G95" i="3"/>
  <c r="G67" i="4"/>
  <c r="H67" i="4" s="1"/>
  <c r="G63" i="4"/>
  <c r="H63" i="4" s="1"/>
  <c r="E95" i="3"/>
  <c r="D105" i="3"/>
  <c r="D103" i="3"/>
  <c r="G64" i="4" l="1"/>
  <c r="H64" i="4" s="1"/>
  <c r="D51" i="4"/>
  <c r="G61" i="4"/>
  <c r="H61" i="4" s="1"/>
  <c r="G60" i="4"/>
  <c r="H60" i="4" s="1"/>
  <c r="G68" i="4"/>
  <c r="H68" i="4" s="1"/>
  <c r="G70" i="4"/>
  <c r="H70" i="4" s="1"/>
  <c r="G69" i="4"/>
  <c r="H69" i="4" s="1"/>
  <c r="G66" i="4"/>
  <c r="H66" i="4" s="1"/>
  <c r="E111" i="4"/>
  <c r="F111" i="4" s="1"/>
  <c r="E110" i="4"/>
  <c r="F110" i="4" s="1"/>
  <c r="E112" i="4"/>
  <c r="F112" i="4" s="1"/>
  <c r="G62" i="4"/>
  <c r="H62" i="4" s="1"/>
  <c r="G71" i="4"/>
  <c r="H71" i="4" s="1"/>
  <c r="D104" i="4"/>
  <c r="E113" i="4"/>
  <c r="F113" i="4" s="1"/>
  <c r="E108" i="4"/>
  <c r="G66" i="3"/>
  <c r="H66" i="3" s="1"/>
  <c r="G61" i="3"/>
  <c r="H61" i="3" s="1"/>
  <c r="G67" i="3"/>
  <c r="H67" i="3" s="1"/>
  <c r="D51" i="3"/>
  <c r="G65" i="3"/>
  <c r="H65" i="3" s="1"/>
  <c r="G60" i="3"/>
  <c r="H60" i="3" s="1"/>
  <c r="G71" i="3"/>
  <c r="H71" i="3" s="1"/>
  <c r="G63" i="3"/>
  <c r="H63" i="3" s="1"/>
  <c r="G69" i="3"/>
  <c r="H69" i="3" s="1"/>
  <c r="G70" i="3"/>
  <c r="H70" i="3" s="1"/>
  <c r="G62" i="3"/>
  <c r="H62" i="3" s="1"/>
  <c r="G68" i="3"/>
  <c r="H68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17" i="4"/>
  <c r="F108" i="4"/>
  <c r="D125" i="4" s="1"/>
  <c r="E119" i="4"/>
  <c r="G72" i="4"/>
  <c r="G73" i="4" s="1"/>
  <c r="G74" i="4"/>
  <c r="E120" i="4"/>
  <c r="G72" i="3"/>
  <c r="G73" i="3" s="1"/>
  <c r="G74" i="3"/>
  <c r="E115" i="3"/>
  <c r="E116" i="3" s="1"/>
  <c r="E119" i="3"/>
  <c r="E120" i="3"/>
  <c r="E117" i="3"/>
  <c r="F108" i="3"/>
  <c r="H74" i="4"/>
  <c r="H72" i="4"/>
  <c r="H74" i="3"/>
  <c r="H72" i="3"/>
  <c r="F125" i="4" l="1"/>
  <c r="F119" i="4"/>
  <c r="F115" i="4"/>
  <c r="G124" i="4" s="1"/>
  <c r="F117" i="4"/>
  <c r="F120" i="4"/>
  <c r="G76" i="3"/>
  <c r="H73" i="3"/>
  <c r="G76" i="4"/>
  <c r="H73" i="4"/>
  <c r="F119" i="3"/>
  <c r="F125" i="3"/>
  <c r="F120" i="3"/>
  <c r="F117" i="3"/>
  <c r="D125" i="3"/>
  <c r="F115" i="3"/>
  <c r="F116" i="4" l="1"/>
  <c r="G124" i="3"/>
  <c r="F116" i="3"/>
</calcChain>
</file>

<file path=xl/sharedStrings.xml><?xml version="1.0" encoding="utf-8"?>
<sst xmlns="http://schemas.openxmlformats.org/spreadsheetml/2006/main" count="454" uniqueCount="139">
  <si>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</si>
  <si>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</si>
  <si>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</si>
  <si>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</si>
  <si>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</si>
  <si>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</si>
  <si>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</si>
  <si>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NDQB201801303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</si>
  <si>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</si>
  <si>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</si>
  <si>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</si>
  <si>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</si>
  <si>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2018-01-24 08:45:49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</si>
  <si>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</si>
  <si>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</si>
  <si>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</si>
  <si>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</si>
  <si>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</si>
  <si>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</si>
  <si>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</si>
  <si>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</si>
  <si>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</si>
  <si>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</si>
  <si>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</si>
  <si>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</si>
  <si>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</si>
  <si>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</si>
  <si>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</si>
  <si>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</si>
  <si>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</si>
  <si>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</si>
  <si>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</si>
  <si>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</si>
  <si>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</si>
  <si>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</si>
  <si>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</si>
  <si>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</si>
  <si>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</si>
  <si>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</si>
  <si>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</si>
  <si>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</si>
  <si>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</si>
  <si>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</si>
  <si>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</si>
  <si>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</si>
  <si>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</si>
  <si>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</si>
  <si>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</si>
  <si>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</si>
  <si>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</si>
  <si>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</si>
  <si>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</si>
  <si>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</si>
  <si>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</si>
  <si>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</si>
  <si>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</si>
  <si>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</si>
  <si>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</si>
  <si>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</si>
  <si>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</si>
  <si>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</si>
  <si>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</si>
  <si>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</si>
  <si>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</si>
  <si>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</si>
  <si>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</si>
  <si>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</si>
  <si>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</si>
  <si>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</si>
  <si>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</si>
  <si>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</si>
  <si>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</si>
  <si>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</si>
  <si>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</si>
  <si>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</si>
  <si>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</si>
  <si>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</si>
  <si>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</si>
  <si>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</si>
  <si>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</si>
  <si>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</si>
  <si>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</si>
  <si>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</si>
  <si>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</si>
  <si>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</si>
  <si>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</si>
  <si>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</si>
  <si>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</si>
  <si>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</si>
  <si>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</si>
  <si>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</si>
  <si>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</si>
  <si>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</si>
  <si>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</si>
  <si>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</si>
  <si>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</si>
  <si>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</si>
  <si>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</si>
  <si>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</si>
  <si>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</si>
  <si>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</si>
  <si>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</si>
  <si>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</si>
  <si>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</si>
  <si>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</si>
  <si>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</si>
  <si>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</si>
  <si>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</si>
  <si>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</si>
  <si>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</si>
  <si>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</si>
  <si>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</si>
  <si>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</si>
  <si>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</si>
  <si>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</si>
  <si>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</si>
  <si>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</si>
  <si>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</si>
  <si>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</si>
  <si>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</si>
  <si>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</si>
  <si>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</si>
  <si>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</si>
  <si>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</si>
  <si>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</si>
  <si>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</si>
  <si>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</si>
  <si>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</si>
  <si>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</si>
  <si>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</si>
  <si>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</si>
  <si>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Resolution(USP)</t>
  </si>
  <si>
    <t>The Resolution between Sulfamethoxazole and Trimethoprim is greater than 5</t>
  </si>
  <si>
    <t xml:space="preserve">Sulfamethoxazole </t>
  </si>
  <si>
    <t>SULFAMETHOXAZOLE</t>
  </si>
  <si>
    <t>S12-6</t>
  </si>
  <si>
    <t xml:space="preserve"> Trimethoprim </t>
  </si>
  <si>
    <t>TRIMETHOPRIM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</si>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</sst>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A21" sqref="A21"/>
    </sheetView>
  </sheetViews>
  <sheetFormatPr defaultRowHeight="13.5" x14ac:dyDescent="0.25"/>
  <cols>
    <col min="1" max="1" width="27.5703125" style="426" customWidth="1"/>
    <col min="2" max="2" width="20.42578125" style="426" customWidth="1"/>
    <col min="3" max="3" width="31.85546875" style="426" customWidth="1"/>
    <col min="4" max="4" width="25.85546875" style="426" customWidth="1"/>
    <col min="5" max="5" width="25.7109375" style="426" customWidth="1"/>
    <col min="6" max="6" width="23.140625" style="426" customWidth="1"/>
    <col min="7" max="7" width="28.42578125" style="426" customWidth="1"/>
    <col min="8" max="8" width="21.5703125" style="426" customWidth="1"/>
    <col min="9" max="9" width="9.140625" style="426" customWidth="1"/>
    <col min="10" max="16384" width="9.140625" style="428"/>
  </cols>
  <sheetData>
    <row r="14" spans="1:6" ht="15" customHeight="1" x14ac:dyDescent="0.3">
      <c r="A14" s="425"/>
      <c r="C14" s="427"/>
      <c r="F14" s="427"/>
    </row>
    <row r="15" spans="1:6" ht="18.75" customHeight="1" x14ac:dyDescent="0.3">
      <c r="A15" s="512" t="s">
        <v>0</v>
      </c>
      <c r="B15" s="512"/>
      <c r="C15" s="512"/>
      <c r="D15" s="512"/>
      <c r="E15" s="512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5" t="s">
        <v>137</v>
      </c>
      <c r="C18" s="433"/>
      <c r="D18" s="433"/>
      <c r="E18" s="433"/>
    </row>
    <row r="19" spans="1:5" ht="16.5" customHeight="1" x14ac:dyDescent="0.3">
      <c r="A19" s="434" t="s">
        <v>6</v>
      </c>
      <c r="B19" s="426">
        <v>99.75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20.61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B20/25*4/100</f>
        <v>3.2975999999999998E-2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2723975</v>
      </c>
      <c r="C24" s="440">
        <v>5585.51</v>
      </c>
      <c r="D24" s="441">
        <v>1.37</v>
      </c>
      <c r="E24" s="442">
        <v>4.93</v>
      </c>
    </row>
    <row r="25" spans="1:5" ht="16.5" customHeight="1" x14ac:dyDescent="0.3">
      <c r="A25" s="439">
        <v>2</v>
      </c>
      <c r="B25" s="440">
        <v>2711915</v>
      </c>
      <c r="C25" s="440">
        <v>5585.9</v>
      </c>
      <c r="D25" s="441">
        <v>1.4</v>
      </c>
      <c r="E25" s="441">
        <v>4.93</v>
      </c>
    </row>
    <row r="26" spans="1:5" ht="16.5" customHeight="1" x14ac:dyDescent="0.3">
      <c r="A26" s="439">
        <v>3</v>
      </c>
      <c r="B26" s="440">
        <v>2714213</v>
      </c>
      <c r="C26" s="440">
        <v>5583.98</v>
      </c>
      <c r="D26" s="441">
        <v>1.36</v>
      </c>
      <c r="E26" s="441">
        <v>4.9400000000000004</v>
      </c>
    </row>
    <row r="27" spans="1:5" ht="16.5" customHeight="1" x14ac:dyDescent="0.3">
      <c r="A27" s="439">
        <v>4</v>
      </c>
      <c r="B27" s="440">
        <v>2687413</v>
      </c>
      <c r="C27" s="440">
        <v>5557.61</v>
      </c>
      <c r="D27" s="441">
        <v>1.4</v>
      </c>
      <c r="E27" s="441">
        <v>4.9400000000000004</v>
      </c>
    </row>
    <row r="28" spans="1:5" ht="16.5" customHeight="1" x14ac:dyDescent="0.3">
      <c r="A28" s="439">
        <v>5</v>
      </c>
      <c r="B28" s="440">
        <v>2716502</v>
      </c>
      <c r="C28" s="440">
        <v>5604.63</v>
      </c>
      <c r="D28" s="441">
        <v>1.36</v>
      </c>
      <c r="E28" s="441">
        <v>4.9400000000000004</v>
      </c>
    </row>
    <row r="29" spans="1:5" ht="16.5" customHeight="1" x14ac:dyDescent="0.3">
      <c r="A29" s="439">
        <v>6</v>
      </c>
      <c r="B29" s="443">
        <v>2710845</v>
      </c>
      <c r="C29" s="443">
        <v>5546.91</v>
      </c>
      <c r="D29" s="444">
        <v>1.4</v>
      </c>
      <c r="E29" s="444">
        <v>4.9400000000000004</v>
      </c>
    </row>
    <row r="30" spans="1:5" ht="16.5" customHeight="1" x14ac:dyDescent="0.3">
      <c r="A30" s="445" t="s">
        <v>18</v>
      </c>
      <c r="B30" s="446">
        <f>AVERAGE(B24:B29)</f>
        <v>2710810.5</v>
      </c>
      <c r="C30" s="447">
        <f>AVERAGE(C24:C29)</f>
        <v>5577.4233333333332</v>
      </c>
      <c r="D30" s="448">
        <f>AVERAGE(D24:D29)</f>
        <v>1.3816666666666666</v>
      </c>
      <c r="E30" s="448">
        <f>AVERAGE(E24:E29)</f>
        <v>4.9366666666666674</v>
      </c>
    </row>
    <row r="31" spans="1:5" ht="16.5" customHeight="1" x14ac:dyDescent="0.3">
      <c r="A31" s="449" t="s">
        <v>19</v>
      </c>
      <c r="B31" s="450">
        <f>(STDEV(B24:B29)/B30)</f>
        <v>4.5657565169377069E-3</v>
      </c>
      <c r="C31" s="451"/>
      <c r="D31" s="451"/>
      <c r="E31" s="452"/>
    </row>
    <row r="32" spans="1:5" s="426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6" customFormat="1" ht="15.75" customHeight="1" x14ac:dyDescent="0.25">
      <c r="A33" s="433"/>
      <c r="B33" s="433"/>
      <c r="C33" s="433"/>
      <c r="D33" s="433"/>
      <c r="E33" s="433"/>
    </row>
    <row r="34" spans="1:5" s="426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137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99.75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20.61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3.2975999999999998E-2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2723975</v>
      </c>
      <c r="C45" s="440">
        <v>5585.51</v>
      </c>
      <c r="D45" s="441">
        <v>1.37</v>
      </c>
      <c r="E45" s="442">
        <v>4.93</v>
      </c>
    </row>
    <row r="46" spans="1:5" ht="16.5" customHeight="1" x14ac:dyDescent="0.3">
      <c r="A46" s="439">
        <v>2</v>
      </c>
      <c r="B46" s="440">
        <v>2711915</v>
      </c>
      <c r="C46" s="440">
        <v>5585.9</v>
      </c>
      <c r="D46" s="441">
        <v>1.4</v>
      </c>
      <c r="E46" s="441">
        <v>4.93</v>
      </c>
    </row>
    <row r="47" spans="1:5" ht="16.5" customHeight="1" x14ac:dyDescent="0.3">
      <c r="A47" s="439">
        <v>3</v>
      </c>
      <c r="B47" s="440">
        <v>2714213</v>
      </c>
      <c r="C47" s="440">
        <v>5583.98</v>
      </c>
      <c r="D47" s="441">
        <v>1.36</v>
      </c>
      <c r="E47" s="441">
        <v>4.9400000000000004</v>
      </c>
    </row>
    <row r="48" spans="1:5" ht="16.5" customHeight="1" x14ac:dyDescent="0.3">
      <c r="A48" s="439">
        <v>4</v>
      </c>
      <c r="B48" s="440">
        <v>2687413</v>
      </c>
      <c r="C48" s="440">
        <v>5557.61</v>
      </c>
      <c r="D48" s="441">
        <v>1.4</v>
      </c>
      <c r="E48" s="441">
        <v>4.9400000000000004</v>
      </c>
    </row>
    <row r="49" spans="1:7" ht="16.5" customHeight="1" x14ac:dyDescent="0.3">
      <c r="A49" s="439">
        <v>5</v>
      </c>
      <c r="B49" s="440">
        <v>2716502</v>
      </c>
      <c r="C49" s="440">
        <v>5604.63</v>
      </c>
      <c r="D49" s="441">
        <v>1.36</v>
      </c>
      <c r="E49" s="441">
        <v>4.9400000000000004</v>
      </c>
    </row>
    <row r="50" spans="1:7" ht="16.5" customHeight="1" x14ac:dyDescent="0.3">
      <c r="A50" s="439">
        <v>6</v>
      </c>
      <c r="B50" s="443">
        <v>2710845</v>
      </c>
      <c r="C50" s="443">
        <v>5546.91</v>
      </c>
      <c r="D50" s="444">
        <v>1.4</v>
      </c>
      <c r="E50" s="444">
        <v>4.9400000000000004</v>
      </c>
    </row>
    <row r="51" spans="1:7" ht="16.5" customHeight="1" x14ac:dyDescent="0.3">
      <c r="A51" s="445" t="s">
        <v>18</v>
      </c>
      <c r="B51" s="446">
        <f>AVERAGE(B45:B50)</f>
        <v>2710810.5</v>
      </c>
      <c r="C51" s="447">
        <f>AVERAGE(C45:C50)</f>
        <v>5577.4233333333332</v>
      </c>
      <c r="D51" s="448">
        <f>AVERAGE(D45:D50)</f>
        <v>1.3816666666666666</v>
      </c>
      <c r="E51" s="448">
        <f>AVERAGE(E45:E50)</f>
        <v>4.9366666666666674</v>
      </c>
    </row>
    <row r="52" spans="1:7" ht="16.5" customHeight="1" x14ac:dyDescent="0.3">
      <c r="A52" s="449" t="s">
        <v>19</v>
      </c>
      <c r="B52" s="450">
        <f>(STDEV(B45:B50)/B51)</f>
        <v>4.5657565169377069E-3</v>
      </c>
      <c r="C52" s="451"/>
      <c r="D52" s="451"/>
      <c r="E52" s="452"/>
    </row>
    <row r="53" spans="1:7" s="426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6" customFormat="1" ht="15.75" customHeight="1" x14ac:dyDescent="0.25">
      <c r="A54" s="433"/>
      <c r="B54" s="433"/>
      <c r="C54" s="433"/>
      <c r="D54" s="433"/>
      <c r="E54" s="433"/>
    </row>
    <row r="55" spans="1:7" s="426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28"/>
      <c r="G58" s="428"/>
    </row>
    <row r="59" spans="1:7" ht="15" customHeight="1" x14ac:dyDescent="0.3">
      <c r="B59" s="513" t="s">
        <v>26</v>
      </c>
      <c r="C59" s="513"/>
      <c r="E59" s="463" t="s">
        <v>27</v>
      </c>
      <c r="F59" s="464"/>
      <c r="G59" s="463" t="s">
        <v>28</v>
      </c>
    </row>
    <row r="60" spans="1:7" ht="15" customHeight="1" x14ac:dyDescent="0.3">
      <c r="A60" s="465" t="s">
        <v>29</v>
      </c>
      <c r="B60" s="466"/>
      <c r="C60" s="466"/>
      <c r="E60" s="466"/>
      <c r="G60" s="466"/>
    </row>
    <row r="61" spans="1:7" ht="15" customHeight="1" x14ac:dyDescent="0.3">
      <c r="A61" s="465" t="s">
        <v>30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A19" sqref="A19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472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73" t="s">
        <v>1</v>
      </c>
      <c r="B16" s="474" t="s">
        <v>2</v>
      </c>
    </row>
    <row r="17" spans="1:6" ht="16.5" customHeight="1" x14ac:dyDescent="0.3">
      <c r="A17" s="475" t="s">
        <v>3</v>
      </c>
      <c r="B17" s="475" t="s">
        <v>5</v>
      </c>
      <c r="D17" s="476"/>
      <c r="E17" s="477"/>
    </row>
    <row r="18" spans="1:6" ht="16.5" customHeight="1" x14ac:dyDescent="0.3">
      <c r="A18" s="478" t="s">
        <v>4</v>
      </c>
      <c r="B18" s="479" t="s">
        <v>134</v>
      </c>
      <c r="C18" s="477"/>
      <c r="D18" s="477"/>
      <c r="E18" s="477"/>
    </row>
    <row r="19" spans="1:6" ht="16.5" customHeight="1" x14ac:dyDescent="0.3">
      <c r="A19" s="478" t="s">
        <v>6</v>
      </c>
      <c r="B19" s="470">
        <v>99.02</v>
      </c>
      <c r="C19" s="477"/>
      <c r="D19" s="477"/>
      <c r="E19" s="477"/>
    </row>
    <row r="20" spans="1:6" ht="16.5" customHeight="1" x14ac:dyDescent="0.3">
      <c r="A20" s="475" t="s">
        <v>8</v>
      </c>
      <c r="B20" s="479">
        <v>16.95</v>
      </c>
      <c r="C20" s="477"/>
      <c r="D20" s="477"/>
      <c r="E20" s="477"/>
    </row>
    <row r="21" spans="1:6" ht="16.5" customHeight="1" x14ac:dyDescent="0.3">
      <c r="A21" s="475" t="s">
        <v>10</v>
      </c>
      <c r="B21" s="480">
        <f>B20/100</f>
        <v>0.16949999999999998</v>
      </c>
      <c r="C21" s="477"/>
      <c r="D21" s="477"/>
      <c r="E21" s="477"/>
    </row>
    <row r="22" spans="1:6" ht="15.75" customHeight="1" x14ac:dyDescent="0.25">
      <c r="A22" s="477"/>
      <c r="B22" s="477"/>
      <c r="C22" s="477"/>
      <c r="D22" s="477"/>
      <c r="E22" s="477"/>
    </row>
    <row r="23" spans="1:6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  <c r="F23" s="481" t="s">
        <v>131</v>
      </c>
    </row>
    <row r="24" spans="1:6" ht="16.5" customHeight="1" x14ac:dyDescent="0.3">
      <c r="A24" s="483">
        <v>1</v>
      </c>
      <c r="B24" s="484">
        <v>38611048</v>
      </c>
      <c r="C24" s="484">
        <v>7283.18</v>
      </c>
      <c r="D24" s="485">
        <v>1.24</v>
      </c>
      <c r="E24" s="486">
        <v>11</v>
      </c>
      <c r="F24" s="486">
        <v>15.57</v>
      </c>
    </row>
    <row r="25" spans="1:6" ht="16.5" customHeight="1" x14ac:dyDescent="0.3">
      <c r="A25" s="483">
        <v>2</v>
      </c>
      <c r="B25" s="484">
        <v>38584771</v>
      </c>
      <c r="C25" s="484">
        <v>7274.74</v>
      </c>
      <c r="D25" s="485">
        <v>1.25</v>
      </c>
      <c r="E25" s="485">
        <v>11</v>
      </c>
      <c r="F25" s="485">
        <v>15.56</v>
      </c>
    </row>
    <row r="26" spans="1:6" ht="16.5" customHeight="1" x14ac:dyDescent="0.3">
      <c r="A26" s="483">
        <v>3</v>
      </c>
      <c r="B26" s="484">
        <v>38646408</v>
      </c>
      <c r="C26" s="484">
        <v>7245.7</v>
      </c>
      <c r="D26" s="485">
        <v>1.25</v>
      </c>
      <c r="E26" s="485">
        <v>11</v>
      </c>
      <c r="F26" s="485">
        <v>15.52</v>
      </c>
    </row>
    <row r="27" spans="1:6" ht="16.5" customHeight="1" x14ac:dyDescent="0.3">
      <c r="A27" s="483">
        <v>4</v>
      </c>
      <c r="B27" s="484">
        <v>38252046</v>
      </c>
      <c r="C27" s="484">
        <v>7237.06</v>
      </c>
      <c r="D27" s="485">
        <v>1.27</v>
      </c>
      <c r="E27" s="485">
        <v>11</v>
      </c>
      <c r="F27" s="485">
        <v>15.5</v>
      </c>
    </row>
    <row r="28" spans="1:6" ht="16.5" customHeight="1" x14ac:dyDescent="0.3">
      <c r="A28" s="483">
        <v>5</v>
      </c>
      <c r="B28" s="484">
        <v>38634669</v>
      </c>
      <c r="C28" s="484">
        <v>7281.63</v>
      </c>
      <c r="D28" s="485">
        <v>1.26</v>
      </c>
      <c r="E28" s="485">
        <v>11</v>
      </c>
      <c r="F28" s="485">
        <v>15.54</v>
      </c>
    </row>
    <row r="29" spans="1:6" ht="16.5" customHeight="1" x14ac:dyDescent="0.3">
      <c r="A29" s="483">
        <v>6</v>
      </c>
      <c r="B29" s="487">
        <v>38665561</v>
      </c>
      <c r="C29" s="487">
        <v>7252.89</v>
      </c>
      <c r="D29" s="488">
        <v>1.26</v>
      </c>
      <c r="E29" s="488">
        <v>10.99</v>
      </c>
      <c r="F29" s="488">
        <v>15.5</v>
      </c>
    </row>
    <row r="30" spans="1:6" ht="16.5" customHeight="1" x14ac:dyDescent="0.3">
      <c r="A30" s="489" t="s">
        <v>18</v>
      </c>
      <c r="B30" s="490">
        <f>AVERAGE(B24:B29)</f>
        <v>38565750.5</v>
      </c>
      <c r="C30" s="491">
        <f>AVERAGE(C24:C29)</f>
        <v>7262.5333333333328</v>
      </c>
      <c r="D30" s="492">
        <f>AVERAGE(D24:D29)</f>
        <v>1.2549999999999999</v>
      </c>
      <c r="E30" s="492">
        <f>AVERAGE(E24:E29)</f>
        <v>10.998333333333333</v>
      </c>
      <c r="F30" s="492">
        <f>AVERAGE(F24:F29)</f>
        <v>15.531666666666666</v>
      </c>
    </row>
    <row r="31" spans="1:6" ht="16.5" customHeight="1" x14ac:dyDescent="0.3">
      <c r="A31" s="493" t="s">
        <v>19</v>
      </c>
      <c r="B31" s="494">
        <f>(STDEV(B24:B29)/B30)</f>
        <v>4.0510472304473265E-3</v>
      </c>
      <c r="C31" s="495"/>
      <c r="D31" s="495"/>
      <c r="E31" s="496"/>
    </row>
    <row r="32" spans="1:6" s="470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6" s="470" customFormat="1" ht="15.75" customHeight="1" x14ac:dyDescent="0.25">
      <c r="A33" s="477"/>
      <c r="B33" s="477"/>
      <c r="C33" s="477"/>
      <c r="D33" s="477"/>
      <c r="E33" s="477"/>
    </row>
    <row r="34" spans="1:6" s="470" customFormat="1" ht="16.5" customHeight="1" x14ac:dyDescent="0.3">
      <c r="A34" s="478" t="s">
        <v>21</v>
      </c>
      <c r="B34" s="502" t="s">
        <v>22</v>
      </c>
      <c r="C34" s="503"/>
      <c r="D34" s="503"/>
      <c r="E34" s="503"/>
    </row>
    <row r="35" spans="1:6" ht="16.5" customHeight="1" x14ac:dyDescent="0.3">
      <c r="A35" s="478"/>
      <c r="B35" s="502" t="s">
        <v>23</v>
      </c>
      <c r="C35" s="503"/>
      <c r="D35" s="503"/>
      <c r="E35" s="503"/>
    </row>
    <row r="36" spans="1:6" ht="16.5" customHeight="1" x14ac:dyDescent="0.3">
      <c r="A36" s="478"/>
      <c r="B36" s="502" t="s">
        <v>24</v>
      </c>
      <c r="C36" s="503"/>
      <c r="D36" s="503"/>
      <c r="E36" s="503"/>
    </row>
    <row r="37" spans="1:6" ht="15.75" customHeight="1" x14ac:dyDescent="0.25">
      <c r="A37" s="477"/>
      <c r="B37" s="477" t="s">
        <v>132</v>
      </c>
      <c r="C37" s="477"/>
      <c r="D37" s="477"/>
      <c r="E37" s="477"/>
    </row>
    <row r="38" spans="1:6" ht="16.5" customHeight="1" x14ac:dyDescent="0.3">
      <c r="A38" s="473" t="s">
        <v>1</v>
      </c>
      <c r="B38" s="474" t="s">
        <v>25</v>
      </c>
    </row>
    <row r="39" spans="1:6" ht="16.5" customHeight="1" x14ac:dyDescent="0.3">
      <c r="A39" s="478" t="s">
        <v>4</v>
      </c>
      <c r="B39" s="475" t="s">
        <v>134</v>
      </c>
      <c r="C39" s="477"/>
      <c r="D39" s="477"/>
      <c r="E39" s="477"/>
    </row>
    <row r="40" spans="1:6" ht="16.5" customHeight="1" x14ac:dyDescent="0.3">
      <c r="A40" s="478" t="s">
        <v>6</v>
      </c>
      <c r="B40" s="479">
        <v>99.02</v>
      </c>
      <c r="C40" s="477"/>
      <c r="D40" s="477"/>
      <c r="E40" s="477"/>
    </row>
    <row r="41" spans="1:6" ht="16.5" customHeight="1" x14ac:dyDescent="0.3">
      <c r="A41" s="475" t="s">
        <v>8</v>
      </c>
      <c r="B41" s="479">
        <v>16.95</v>
      </c>
      <c r="C41" s="477"/>
      <c r="D41" s="477"/>
      <c r="E41" s="477"/>
    </row>
    <row r="42" spans="1:6" ht="16.5" customHeight="1" x14ac:dyDescent="0.3">
      <c r="A42" s="475" t="s">
        <v>10</v>
      </c>
      <c r="B42" s="480">
        <v>0.16949999999999998</v>
      </c>
      <c r="C42" s="477"/>
      <c r="D42" s="477"/>
      <c r="E42" s="477"/>
    </row>
    <row r="43" spans="1:6" ht="15.75" customHeight="1" x14ac:dyDescent="0.25">
      <c r="A43" s="477"/>
      <c r="B43" s="477"/>
      <c r="C43" s="477"/>
      <c r="D43" s="477"/>
      <c r="E43" s="477"/>
    </row>
    <row r="44" spans="1:6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  <c r="F44" s="481" t="s">
        <v>131</v>
      </c>
    </row>
    <row r="45" spans="1:6" ht="16.5" customHeight="1" x14ac:dyDescent="0.3">
      <c r="A45" s="483">
        <v>1</v>
      </c>
      <c r="B45" s="484">
        <v>38611048</v>
      </c>
      <c r="C45" s="484">
        <v>7283.18</v>
      </c>
      <c r="D45" s="485">
        <v>1.24</v>
      </c>
      <c r="E45" s="486">
        <v>11</v>
      </c>
      <c r="F45" s="486">
        <v>15.57</v>
      </c>
    </row>
    <row r="46" spans="1:6" ht="16.5" customHeight="1" x14ac:dyDescent="0.3">
      <c r="A46" s="483">
        <v>2</v>
      </c>
      <c r="B46" s="484">
        <v>38584771</v>
      </c>
      <c r="C46" s="484">
        <v>7274.74</v>
      </c>
      <c r="D46" s="485">
        <v>1.25</v>
      </c>
      <c r="E46" s="485">
        <v>11</v>
      </c>
      <c r="F46" s="485">
        <v>15.56</v>
      </c>
    </row>
    <row r="47" spans="1:6" ht="16.5" customHeight="1" x14ac:dyDescent="0.3">
      <c r="A47" s="483">
        <v>3</v>
      </c>
      <c r="B47" s="484">
        <v>38646408</v>
      </c>
      <c r="C47" s="484">
        <v>7245.7</v>
      </c>
      <c r="D47" s="485">
        <v>1.25</v>
      </c>
      <c r="E47" s="485">
        <v>11</v>
      </c>
      <c r="F47" s="485">
        <v>15.52</v>
      </c>
    </row>
    <row r="48" spans="1:6" ht="16.5" customHeight="1" x14ac:dyDescent="0.3">
      <c r="A48" s="483">
        <v>4</v>
      </c>
      <c r="B48" s="484">
        <v>38252046</v>
      </c>
      <c r="C48" s="484">
        <v>7237.06</v>
      </c>
      <c r="D48" s="485">
        <v>1.27</v>
      </c>
      <c r="E48" s="485">
        <v>11</v>
      </c>
      <c r="F48" s="485">
        <v>15.5</v>
      </c>
    </row>
    <row r="49" spans="1:7" ht="16.5" customHeight="1" x14ac:dyDescent="0.3">
      <c r="A49" s="483">
        <v>5</v>
      </c>
      <c r="B49" s="484">
        <v>38634669</v>
      </c>
      <c r="C49" s="484">
        <v>7281.63</v>
      </c>
      <c r="D49" s="485">
        <v>1.26</v>
      </c>
      <c r="E49" s="485">
        <v>11</v>
      </c>
      <c r="F49" s="485">
        <v>15.54</v>
      </c>
    </row>
    <row r="50" spans="1:7" ht="16.5" customHeight="1" x14ac:dyDescent="0.3">
      <c r="A50" s="483">
        <v>6</v>
      </c>
      <c r="B50" s="487">
        <v>38665561</v>
      </c>
      <c r="C50" s="487">
        <v>7252.89</v>
      </c>
      <c r="D50" s="488">
        <v>1.26</v>
      </c>
      <c r="E50" s="488">
        <v>10.99</v>
      </c>
      <c r="F50" s="488">
        <v>15.5</v>
      </c>
    </row>
    <row r="51" spans="1:7" ht="16.5" customHeight="1" x14ac:dyDescent="0.3">
      <c r="A51" s="489" t="s">
        <v>18</v>
      </c>
      <c r="B51" s="490">
        <f>AVERAGE(B45:B50)</f>
        <v>38565750.5</v>
      </c>
      <c r="C51" s="491">
        <f>AVERAGE(C45:C50)</f>
        <v>7262.5333333333328</v>
      </c>
      <c r="D51" s="492">
        <f>AVERAGE(D45:D50)</f>
        <v>1.2549999999999999</v>
      </c>
      <c r="E51" s="492">
        <f>AVERAGE(E45:E50)</f>
        <v>10.998333333333333</v>
      </c>
      <c r="F51" s="492">
        <f>AVERAGE(F45:F50)</f>
        <v>15.531666666666666</v>
      </c>
    </row>
    <row r="52" spans="1:7" ht="16.5" customHeight="1" x14ac:dyDescent="0.3">
      <c r="A52" s="493" t="s">
        <v>19</v>
      </c>
      <c r="B52" s="494">
        <f>(STDEV(B45:B50)/B51)</f>
        <v>4.0510472304473265E-3</v>
      </c>
      <c r="C52" s="495"/>
      <c r="D52" s="495"/>
      <c r="E52" s="496"/>
    </row>
    <row r="53" spans="1:7" s="470" customFormat="1" ht="16.5" customHeight="1" x14ac:dyDescent="0.3">
      <c r="A53" s="497" t="s">
        <v>20</v>
      </c>
      <c r="B53" s="498">
        <f>COUNT(B45:B50)</f>
        <v>6</v>
      </c>
      <c r="C53" s="499"/>
      <c r="D53" s="500"/>
      <c r="E53" s="501"/>
    </row>
    <row r="54" spans="1:7" s="470" customFormat="1" ht="15.75" customHeight="1" x14ac:dyDescent="0.25">
      <c r="A54" s="477"/>
      <c r="B54" s="477"/>
      <c r="C54" s="477"/>
      <c r="D54" s="477"/>
      <c r="E54" s="477"/>
    </row>
    <row r="55" spans="1:7" s="470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477" t="s">
        <v>132</v>
      </c>
      <c r="D58" s="505"/>
      <c r="F58" s="472"/>
      <c r="G58" s="472"/>
    </row>
    <row r="59" spans="1:7" ht="15" customHeight="1" x14ac:dyDescent="0.3">
      <c r="B59" s="515" t="s">
        <v>26</v>
      </c>
      <c r="C59" s="515"/>
      <c r="E59" s="506" t="s">
        <v>27</v>
      </c>
      <c r="F59" s="507"/>
      <c r="G59" s="506" t="s">
        <v>28</v>
      </c>
    </row>
    <row r="60" spans="1:7" ht="15" customHeight="1" x14ac:dyDescent="0.3">
      <c r="A60" s="508" t="s">
        <v>29</v>
      </c>
      <c r="B60" s="509"/>
      <c r="C60" s="509"/>
      <c r="E60" s="509"/>
      <c r="G60" s="509"/>
    </row>
    <row r="61" spans="1:7" ht="15" customHeight="1" x14ac:dyDescent="0.3">
      <c r="A61" s="508" t="s">
        <v>30</v>
      </c>
      <c r="B61" s="510"/>
      <c r="C61" s="510"/>
      <c r="E61" s="510"/>
      <c r="G61" s="51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A18" sqref="A18:B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9" t="s">
        <v>31</v>
      </c>
      <c r="B11" s="520"/>
      <c r="C11" s="520"/>
      <c r="D11" s="520"/>
      <c r="E11" s="520"/>
      <c r="F11" s="521"/>
      <c r="G11" s="43"/>
    </row>
    <row r="12" spans="1:7" ht="16.5" customHeight="1" x14ac:dyDescent="0.3">
      <c r="A12" s="518" t="s">
        <v>32</v>
      </c>
      <c r="B12" s="518"/>
      <c r="C12" s="518"/>
      <c r="D12" s="518"/>
      <c r="E12" s="518"/>
      <c r="F12" s="518"/>
      <c r="G12" s="42"/>
    </row>
    <row r="14" spans="1:7" ht="16.5" customHeight="1" x14ac:dyDescent="0.3">
      <c r="A14" s="523" t="s">
        <v>33</v>
      </c>
      <c r="B14" s="523"/>
      <c r="C14" s="12" t="s">
        <v>5</v>
      </c>
    </row>
    <row r="15" spans="1:7" ht="16.5" customHeight="1" x14ac:dyDescent="0.3">
      <c r="A15" s="523" t="s">
        <v>34</v>
      </c>
      <c r="B15" s="523"/>
      <c r="C15" s="12" t="s">
        <v>7</v>
      </c>
    </row>
    <row r="16" spans="1:7" ht="16.5" customHeight="1" x14ac:dyDescent="0.3">
      <c r="A16" s="523" t="s">
        <v>35</v>
      </c>
      <c r="B16" s="523"/>
      <c r="C16" s="12" t="s">
        <v>9</v>
      </c>
    </row>
    <row r="17" spans="1:5" ht="16.5" customHeight="1" x14ac:dyDescent="0.3">
      <c r="A17" s="523" t="s">
        <v>36</v>
      </c>
      <c r="B17" s="523"/>
      <c r="C17" s="12" t="s">
        <v>11</v>
      </c>
    </row>
    <row r="18" spans="1:5" ht="16.5" customHeight="1" x14ac:dyDescent="0.3">
      <c r="A18" s="523" t="s">
        <v>37</v>
      </c>
      <c r="B18" s="523"/>
      <c r="C18" s="49" t="s">
        <v>12</v>
      </c>
    </row>
    <row r="19" spans="1:5" ht="16.5" customHeight="1" x14ac:dyDescent="0.3">
      <c r="A19" s="523" t="s">
        <v>38</v>
      </c>
      <c r="B19" s="5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8" t="s">
        <v>1</v>
      </c>
      <c r="B21" s="518"/>
      <c r="C21" s="11" t="s">
        <v>39</v>
      </c>
      <c r="D21" s="18"/>
    </row>
    <row r="22" spans="1:5" ht="15.75" customHeight="1" x14ac:dyDescent="0.3">
      <c r="A22" s="522"/>
      <c r="B22" s="522"/>
      <c r="C22" s="9"/>
      <c r="D22" s="522"/>
      <c r="E22" s="52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1089.4000000000001</v>
      </c>
      <c r="D24" s="39">
        <f t="shared" ref="D24:D43" si="0">(C24-$C$46)/$C$46</f>
        <v>2.736031626592948E-3</v>
      </c>
      <c r="E24" s="5"/>
    </row>
    <row r="25" spans="1:5" ht="15.75" customHeight="1" x14ac:dyDescent="0.3">
      <c r="C25" s="47">
        <v>1110.51</v>
      </c>
      <c r="D25" s="40">
        <f t="shared" si="0"/>
        <v>2.2166688527306438E-2</v>
      </c>
      <c r="E25" s="5"/>
    </row>
    <row r="26" spans="1:5" ht="15.75" customHeight="1" x14ac:dyDescent="0.3">
      <c r="C26" s="47">
        <v>1060.26</v>
      </c>
      <c r="D26" s="40">
        <f t="shared" si="0"/>
        <v>-2.4085822569844557E-2</v>
      </c>
      <c r="E26" s="5"/>
    </row>
    <row r="27" spans="1:5" ht="15.75" customHeight="1" x14ac:dyDescent="0.3">
      <c r="C27" s="47">
        <v>1059.8800000000001</v>
      </c>
      <c r="D27" s="40">
        <f t="shared" si="0"/>
        <v>-2.4435592803016933E-2</v>
      </c>
      <c r="E27" s="5"/>
    </row>
    <row r="28" spans="1:5" ht="15.75" customHeight="1" x14ac:dyDescent="0.3">
      <c r="C28" s="47">
        <v>1067.04</v>
      </c>
      <c r="D28" s="40">
        <f t="shared" si="0"/>
        <v>-1.7845185251661819E-2</v>
      </c>
      <c r="E28" s="5"/>
    </row>
    <row r="29" spans="1:5" ht="15.75" customHeight="1" x14ac:dyDescent="0.3">
      <c r="C29" s="47">
        <v>1110.76</v>
      </c>
      <c r="D29" s="40">
        <f t="shared" si="0"/>
        <v>2.2396800522814651E-2</v>
      </c>
      <c r="E29" s="5"/>
    </row>
    <row r="30" spans="1:5" ht="15.75" customHeight="1" x14ac:dyDescent="0.3">
      <c r="C30" s="47">
        <v>1064.33</v>
      </c>
      <c r="D30" s="40">
        <f t="shared" si="0"/>
        <v>-2.0339599282970893E-2</v>
      </c>
      <c r="E30" s="5"/>
    </row>
    <row r="31" spans="1:5" ht="15.75" customHeight="1" x14ac:dyDescent="0.3">
      <c r="C31" s="47">
        <v>1106.8</v>
      </c>
      <c r="D31" s="40">
        <f t="shared" si="0"/>
        <v>1.8751826513964509E-2</v>
      </c>
      <c r="E31" s="5"/>
    </row>
    <row r="32" spans="1:5" ht="15.75" customHeight="1" x14ac:dyDescent="0.3">
      <c r="C32" s="47">
        <v>1091.26</v>
      </c>
      <c r="D32" s="40">
        <f t="shared" si="0"/>
        <v>4.448064873173967E-3</v>
      </c>
      <c r="E32" s="5"/>
    </row>
    <row r="33" spans="1:7" ht="15.75" customHeight="1" x14ac:dyDescent="0.3">
      <c r="C33" s="47">
        <v>1060.3699999999999</v>
      </c>
      <c r="D33" s="40">
        <f t="shared" si="0"/>
        <v>-2.3984573291821035E-2</v>
      </c>
      <c r="E33" s="5"/>
    </row>
    <row r="34" spans="1:7" ht="15.75" customHeight="1" x14ac:dyDescent="0.3">
      <c r="C34" s="47">
        <v>1121.52</v>
      </c>
      <c r="D34" s="40">
        <f t="shared" si="0"/>
        <v>3.2300820809488172E-2</v>
      </c>
      <c r="E34" s="5"/>
    </row>
    <row r="35" spans="1:7" ht="15.75" customHeight="1" x14ac:dyDescent="0.3">
      <c r="C35" s="47">
        <v>1085.9000000000001</v>
      </c>
      <c r="D35" s="40">
        <f t="shared" si="0"/>
        <v>-4.8553631052204667E-4</v>
      </c>
      <c r="E35" s="5"/>
    </row>
    <row r="36" spans="1:7" ht="15.75" customHeight="1" x14ac:dyDescent="0.3">
      <c r="C36" s="47">
        <v>1069.56</v>
      </c>
      <c r="D36" s="40">
        <f t="shared" si="0"/>
        <v>-1.5525656336939041E-2</v>
      </c>
      <c r="E36" s="5"/>
    </row>
    <row r="37" spans="1:7" ht="15.75" customHeight="1" x14ac:dyDescent="0.3">
      <c r="C37" s="47">
        <v>1080.46</v>
      </c>
      <c r="D37" s="40">
        <f t="shared" si="0"/>
        <v>-5.4927733327808309E-3</v>
      </c>
      <c r="E37" s="5"/>
    </row>
    <row r="38" spans="1:7" ht="15.75" customHeight="1" x14ac:dyDescent="0.3">
      <c r="C38" s="47">
        <v>1073.77</v>
      </c>
      <c r="D38" s="40">
        <f t="shared" si="0"/>
        <v>-1.1650570332580686E-2</v>
      </c>
      <c r="E38" s="5"/>
    </row>
    <row r="39" spans="1:7" ht="15.75" customHeight="1" x14ac:dyDescent="0.3">
      <c r="C39" s="47">
        <v>1092.44</v>
      </c>
      <c r="D39" s="40">
        <f t="shared" si="0"/>
        <v>5.5341934919727956E-3</v>
      </c>
      <c r="E39" s="5"/>
    </row>
    <row r="40" spans="1:7" ht="15.75" customHeight="1" x14ac:dyDescent="0.3">
      <c r="C40" s="47">
        <v>1123.4100000000001</v>
      </c>
      <c r="D40" s="40">
        <f t="shared" si="0"/>
        <v>3.4040467495530358E-2</v>
      </c>
      <c r="E40" s="5"/>
    </row>
    <row r="41" spans="1:7" ht="15.75" customHeight="1" x14ac:dyDescent="0.3">
      <c r="C41" s="47">
        <v>1063.51</v>
      </c>
      <c r="D41" s="40">
        <f t="shared" si="0"/>
        <v>-2.1094366628237774E-2</v>
      </c>
      <c r="E41" s="5"/>
    </row>
    <row r="42" spans="1:7" ht="15.75" customHeight="1" x14ac:dyDescent="0.3">
      <c r="C42" s="47">
        <v>1094.29</v>
      </c>
      <c r="D42" s="40">
        <f t="shared" si="0"/>
        <v>7.2370222587334948E-3</v>
      </c>
      <c r="E42" s="5"/>
    </row>
    <row r="43" spans="1:7" ht="16.5" customHeight="1" x14ac:dyDescent="0.3">
      <c r="C43" s="48">
        <v>1103.08</v>
      </c>
      <c r="D43" s="41">
        <f t="shared" si="0"/>
        <v>1.5327760020802262E-2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21728.549999999996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1086.4274999999998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6">
        <f>C46</f>
        <v>1086.4274999999998</v>
      </c>
      <c r="C49" s="45">
        <f>-IF(C46&lt;=80,10%,IF(C46&lt;250,7.5%,5%))</f>
        <v>-0.05</v>
      </c>
      <c r="D49" s="33">
        <f>IF(C46&lt;=80,C46*0.9,IF(C46&lt;250,C46*0.925,C46*0.95))</f>
        <v>1032.1061249999998</v>
      </c>
    </row>
    <row r="50" spans="1:6" ht="17.25" customHeight="1" x14ac:dyDescent="0.3">
      <c r="B50" s="517"/>
      <c r="C50" s="46">
        <f>IF(C46&lt;=80, 10%, IF(C46&lt;250, 7.5%, 5%))</f>
        <v>0.05</v>
      </c>
      <c r="D50" s="33">
        <f>IF(C46&lt;=80, C46*1.1, IF(C46&lt;250, C46*1.075, C46*1.05))</f>
        <v>1140.7488749999998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6" zoomScale="60" zoomScaleNormal="40" zoomScalePageLayoutView="48" workbookViewId="0">
      <selection activeCell="F91" sqref="F91: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4" t="s">
        <v>45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 x14ac:dyDescent="0.25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 x14ac:dyDescent="0.25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 x14ac:dyDescent="0.25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 x14ac:dyDescent="0.25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 x14ac:dyDescent="0.25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 x14ac:dyDescent="0.25">
      <c r="A7" s="524"/>
      <c r="B7" s="524"/>
      <c r="C7" s="524"/>
      <c r="D7" s="524"/>
      <c r="E7" s="524"/>
      <c r="F7" s="524"/>
      <c r="G7" s="524"/>
      <c r="H7" s="524"/>
      <c r="I7" s="524"/>
    </row>
    <row r="8" spans="1:9" x14ac:dyDescent="0.25">
      <c r="A8" s="525" t="s">
        <v>46</v>
      </c>
      <c r="B8" s="525"/>
      <c r="C8" s="525"/>
      <c r="D8" s="525"/>
      <c r="E8" s="525"/>
      <c r="F8" s="525"/>
      <c r="G8" s="525"/>
      <c r="H8" s="525"/>
      <c r="I8" s="525"/>
    </row>
    <row r="9" spans="1:9" x14ac:dyDescent="0.25">
      <c r="A9" s="525"/>
      <c r="B9" s="525"/>
      <c r="C9" s="525"/>
      <c r="D9" s="525"/>
      <c r="E9" s="525"/>
      <c r="F9" s="525"/>
      <c r="G9" s="525"/>
      <c r="H9" s="525"/>
      <c r="I9" s="525"/>
    </row>
    <row r="10" spans="1:9" x14ac:dyDescent="0.25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 x14ac:dyDescent="0.25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 x14ac:dyDescent="0.25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 x14ac:dyDescent="0.25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 x14ac:dyDescent="0.25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x14ac:dyDescent="0.3">
      <c r="A15" s="50"/>
    </row>
    <row r="16" spans="1:9" ht="19.5" customHeight="1" x14ac:dyDescent="0.3">
      <c r="A16" s="557" t="s">
        <v>31</v>
      </c>
      <c r="B16" s="558"/>
      <c r="C16" s="558"/>
      <c r="D16" s="558"/>
      <c r="E16" s="558"/>
      <c r="F16" s="558"/>
      <c r="G16" s="558"/>
      <c r="H16" s="559"/>
    </row>
    <row r="17" spans="1:14" ht="20.25" customHeight="1" x14ac:dyDescent="0.25">
      <c r="A17" s="560" t="s">
        <v>47</v>
      </c>
      <c r="B17" s="560"/>
      <c r="C17" s="560"/>
      <c r="D17" s="560"/>
      <c r="E17" s="560"/>
      <c r="F17" s="560"/>
      <c r="G17" s="560"/>
      <c r="H17" s="560"/>
    </row>
    <row r="18" spans="1:14" ht="26.25" customHeight="1" x14ac:dyDescent="0.4">
      <c r="A18" s="52" t="s">
        <v>33</v>
      </c>
      <c r="B18" s="556" t="s">
        <v>5</v>
      </c>
      <c r="C18" s="556"/>
      <c r="D18" s="197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61" t="s">
        <v>133</v>
      </c>
      <c r="C20" s="56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61" t="s">
        <v>11</v>
      </c>
      <c r="C21" s="561"/>
      <c r="D21" s="561"/>
      <c r="E21" s="561"/>
      <c r="F21" s="561"/>
      <c r="G21" s="561"/>
      <c r="H21" s="561"/>
      <c r="I21" s="56"/>
    </row>
    <row r="22" spans="1:14" ht="26.25" customHeight="1" x14ac:dyDescent="0.4">
      <c r="A22" s="52" t="s">
        <v>37</v>
      </c>
      <c r="B22" s="57">
        <v>43130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43132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6" t="s">
        <v>134</v>
      </c>
      <c r="C26" s="556"/>
    </row>
    <row r="27" spans="1:14" ht="26.25" customHeight="1" x14ac:dyDescent="0.4">
      <c r="A27" s="61" t="s">
        <v>48</v>
      </c>
      <c r="B27" s="562" t="s">
        <v>135</v>
      </c>
      <c r="C27" s="562"/>
    </row>
    <row r="28" spans="1:14" ht="27" customHeight="1" x14ac:dyDescent="0.4">
      <c r="A28" s="61" t="s">
        <v>6</v>
      </c>
      <c r="B28" s="62">
        <v>99.02</v>
      </c>
    </row>
    <row r="29" spans="1:14" s="3" customFormat="1" ht="27" customHeight="1" x14ac:dyDescent="0.4">
      <c r="A29" s="61" t="s">
        <v>49</v>
      </c>
      <c r="B29" s="63">
        <v>0</v>
      </c>
      <c r="C29" s="532" t="s">
        <v>50</v>
      </c>
      <c r="D29" s="533"/>
      <c r="E29" s="533"/>
      <c r="F29" s="533"/>
      <c r="G29" s="53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5" t="s">
        <v>53</v>
      </c>
      <c r="D31" s="536"/>
      <c r="E31" s="536"/>
      <c r="F31" s="536"/>
      <c r="G31" s="536"/>
      <c r="H31" s="53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5" t="s">
        <v>55</v>
      </c>
      <c r="D32" s="536"/>
      <c r="E32" s="536"/>
      <c r="F32" s="536"/>
      <c r="G32" s="536"/>
      <c r="H32" s="53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38" t="s">
        <v>59</v>
      </c>
      <c r="E36" s="563"/>
      <c r="F36" s="538" t="s">
        <v>60</v>
      </c>
      <c r="G36" s="5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38302842</v>
      </c>
      <c r="E38" s="85">
        <f>IF(ISBLANK(D38),"-",$D$48/$D$45*D38)</f>
        <v>36513911.375729941</v>
      </c>
      <c r="F38" s="84">
        <v>38534891</v>
      </c>
      <c r="G38" s="86">
        <f>IF(ISBLANK(F38),"-",$D$48/$F$45*F38)</f>
        <v>38059922.200893946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38024567</v>
      </c>
      <c r="E39" s="90">
        <f>IF(ISBLANK(D39),"-",$D$48/$D$45*D39)</f>
        <v>36248633.183368102</v>
      </c>
      <c r="F39" s="89">
        <v>37533009</v>
      </c>
      <c r="G39" s="91">
        <f>IF(ISBLANK(F39),"-",$D$48/$F$45*F39)</f>
        <v>37070389.0794826</v>
      </c>
      <c r="I39" s="540">
        <f>ABS((F43/D43*D42)-F42)/D42</f>
        <v>1.806189278781194E-2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39477710</v>
      </c>
      <c r="E40" s="90">
        <f>IF(ISBLANK(D40),"-",$D$48/$D$45*D40)</f>
        <v>37633907.276561037</v>
      </c>
      <c r="F40" s="89">
        <v>37797904</v>
      </c>
      <c r="G40" s="91">
        <f>IF(ISBLANK(F40),"-",$D$48/$F$45*F40)</f>
        <v>37332019.068040393</v>
      </c>
      <c r="I40" s="54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38601706.333333336</v>
      </c>
      <c r="E42" s="100">
        <f>AVERAGE(E38:E41)</f>
        <v>36798817.278553024</v>
      </c>
      <c r="F42" s="99">
        <f>AVERAGE(F38:F41)</f>
        <v>37955268</v>
      </c>
      <c r="G42" s="101">
        <f>AVERAGE(G38:G41)</f>
        <v>37487443.449472316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16.95</v>
      </c>
      <c r="E43" s="92"/>
      <c r="F43" s="104">
        <v>16.36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16.95</v>
      </c>
      <c r="E44" s="107"/>
      <c r="F44" s="106">
        <f>F43*$B$34</f>
        <v>16.36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16.78389</v>
      </c>
      <c r="E45" s="110"/>
      <c r="F45" s="109">
        <f>F44*$B$30/100</f>
        <v>16.199672</v>
      </c>
      <c r="H45" s="102"/>
    </row>
    <row r="46" spans="1:14" ht="19.5" customHeight="1" x14ac:dyDescent="0.3">
      <c r="A46" s="526" t="s">
        <v>78</v>
      </c>
      <c r="B46" s="527"/>
      <c r="C46" s="105" t="s">
        <v>79</v>
      </c>
      <c r="D46" s="111">
        <f>D45/$B$45</f>
        <v>0.16783889999999999</v>
      </c>
      <c r="E46" s="112"/>
      <c r="F46" s="113">
        <f>F45/$B$45</f>
        <v>0.16199671999999998</v>
      </c>
      <c r="H46" s="102"/>
    </row>
    <row r="47" spans="1:14" ht="27" customHeight="1" x14ac:dyDescent="0.4">
      <c r="A47" s="528"/>
      <c r="B47" s="529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37143130.364012673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1.8332805088000472E-2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Sulfamethoxazole BP 800 mg and Trimethoprim BP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8">
        <f>Uniformity!C46</f>
        <v>1086.4274999999998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543" t="s">
        <v>94</v>
      </c>
      <c r="D60" s="546">
        <v>1086.28</v>
      </c>
      <c r="E60" s="134">
        <v>1</v>
      </c>
      <c r="F60" s="135">
        <v>37288306</v>
      </c>
      <c r="G60" s="199">
        <f>IF(ISBLANK(F60),"-",(F60/$D$50*$D$47*$B$68)*($B$57/$D$60))</f>
        <v>803.23588903700715</v>
      </c>
      <c r="H60" s="217">
        <f t="shared" ref="H60:H71" si="0">IF(ISBLANK(F60),"-",(G60/$B$56)*100)</f>
        <v>100.40448612962589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544"/>
      <c r="D61" s="547"/>
      <c r="E61" s="136">
        <v>2</v>
      </c>
      <c r="F61" s="89">
        <v>37301766</v>
      </c>
      <c r="G61" s="200">
        <f>IF(ISBLANK(F61),"-",(F61/$D$50*$D$47*$B$68)*($B$57/$D$60))</f>
        <v>803.52583396146781</v>
      </c>
      <c r="H61" s="218">
        <f t="shared" si="0"/>
        <v>100.44072924518348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4"/>
      <c r="D62" s="547"/>
      <c r="E62" s="136">
        <v>3</v>
      </c>
      <c r="F62" s="137">
        <v>37122809</v>
      </c>
      <c r="G62" s="200">
        <f>IF(ISBLANK(F62),"-",(F62/$D$50*$D$47*$B$68)*($B$57/$D$60))</f>
        <v>799.67088048102812</v>
      </c>
      <c r="H62" s="218">
        <f t="shared" si="0"/>
        <v>99.958860060128515</v>
      </c>
      <c r="L62" s="64"/>
    </row>
    <row r="63" spans="1:12" ht="27" customHeight="1" x14ac:dyDescent="0.4">
      <c r="A63" s="76" t="s">
        <v>97</v>
      </c>
      <c r="B63" s="77">
        <v>1</v>
      </c>
      <c r="C63" s="553"/>
      <c r="D63" s="548"/>
      <c r="E63" s="138">
        <v>4</v>
      </c>
      <c r="F63" s="139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3" t="s">
        <v>99</v>
      </c>
      <c r="D64" s="546">
        <v>1088.3599999999999</v>
      </c>
      <c r="E64" s="134">
        <v>1</v>
      </c>
      <c r="F64" s="135">
        <v>36936508</v>
      </c>
      <c r="G64" s="199">
        <f>IF(ISBLANK(F64),"-",(F64/$D$50*$D$47*$B$68)*($B$57/$D$64))</f>
        <v>794.13712100388091</v>
      </c>
      <c r="H64" s="217">
        <f t="shared" si="0"/>
        <v>99.267140125485113</v>
      </c>
    </row>
    <row r="65" spans="1:8" ht="26.25" customHeight="1" x14ac:dyDescent="0.4">
      <c r="A65" s="76" t="s">
        <v>100</v>
      </c>
      <c r="B65" s="77">
        <v>1</v>
      </c>
      <c r="C65" s="544"/>
      <c r="D65" s="547"/>
      <c r="E65" s="136">
        <v>2</v>
      </c>
      <c r="F65" s="89">
        <v>37022090</v>
      </c>
      <c r="G65" s="200">
        <f>IF(ISBLANK(F65),"-",(F65/$D$50*$D$47*$B$68)*($B$57/$D$64))</f>
        <v>795.97713909897959</v>
      </c>
      <c r="H65" s="218">
        <f t="shared" si="0"/>
        <v>99.497142387372449</v>
      </c>
    </row>
    <row r="66" spans="1:8" ht="26.25" customHeight="1" x14ac:dyDescent="0.4">
      <c r="A66" s="76" t="s">
        <v>101</v>
      </c>
      <c r="B66" s="77">
        <v>1</v>
      </c>
      <c r="C66" s="544"/>
      <c r="D66" s="547"/>
      <c r="E66" s="136">
        <v>3</v>
      </c>
      <c r="F66" s="89">
        <v>37301894</v>
      </c>
      <c r="G66" s="200">
        <f>IF(ISBLANK(F66),"-",(F66/$D$50*$D$47*$B$68)*($B$57/$D$64))</f>
        <v>801.9929417570263</v>
      </c>
      <c r="H66" s="218">
        <f t="shared" si="0"/>
        <v>100.24911771962827</v>
      </c>
    </row>
    <row r="67" spans="1:8" ht="27" customHeight="1" x14ac:dyDescent="0.4">
      <c r="A67" s="76" t="s">
        <v>102</v>
      </c>
      <c r="B67" s="77">
        <v>1</v>
      </c>
      <c r="C67" s="553"/>
      <c r="D67" s="548"/>
      <c r="E67" s="138">
        <v>4</v>
      </c>
      <c r="F67" s="139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5000</v>
      </c>
      <c r="C68" s="543" t="s">
        <v>104</v>
      </c>
      <c r="D68" s="546">
        <v>1077.51</v>
      </c>
      <c r="E68" s="134">
        <v>1</v>
      </c>
      <c r="F68" s="135">
        <v>37040149</v>
      </c>
      <c r="G68" s="199">
        <f>IF(ISBLANK(F68),"-",(F68/$D$50*$D$47*$B$68)*($B$57/$D$68))</f>
        <v>804.38441980544167</v>
      </c>
      <c r="H68" s="218">
        <f t="shared" si="0"/>
        <v>100.54805247568022</v>
      </c>
    </row>
    <row r="69" spans="1:8" ht="27" customHeight="1" x14ac:dyDescent="0.4">
      <c r="A69" s="124" t="s">
        <v>105</v>
      </c>
      <c r="B69" s="141">
        <f>(D47*B68)/B56*B57</f>
        <v>1086.4274999999998</v>
      </c>
      <c r="C69" s="544"/>
      <c r="D69" s="547"/>
      <c r="E69" s="136">
        <v>2</v>
      </c>
      <c r="F69" s="89">
        <v>36565689</v>
      </c>
      <c r="G69" s="200">
        <f>IF(ISBLANK(F69),"-",(F69/$D$50*$D$47*$B$68)*($B$57/$D$68))</f>
        <v>794.08078328872875</v>
      </c>
      <c r="H69" s="218">
        <f t="shared" si="0"/>
        <v>99.260097911091094</v>
      </c>
    </row>
    <row r="70" spans="1:8" ht="26.25" customHeight="1" x14ac:dyDescent="0.4">
      <c r="A70" s="549" t="s">
        <v>78</v>
      </c>
      <c r="B70" s="550"/>
      <c r="C70" s="544"/>
      <c r="D70" s="547"/>
      <c r="E70" s="136">
        <v>3</v>
      </c>
      <c r="F70" s="89">
        <v>36990354</v>
      </c>
      <c r="G70" s="200">
        <f>IF(ISBLANK(F70),"-",(F70/$D$50*$D$47*$B$68)*($B$57/$D$68))</f>
        <v>803.30304396690997</v>
      </c>
      <c r="H70" s="218">
        <f t="shared" si="0"/>
        <v>100.41288049586375</v>
      </c>
    </row>
    <row r="71" spans="1:8" ht="27" customHeight="1" x14ac:dyDescent="0.4">
      <c r="A71" s="551"/>
      <c r="B71" s="552"/>
      <c r="C71" s="545"/>
      <c r="D71" s="548"/>
      <c r="E71" s="138">
        <v>4</v>
      </c>
      <c r="F71" s="139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5">
        <f>AVERAGE(G60:G71)</f>
        <v>800.03422804449679</v>
      </c>
      <c r="H72" s="220">
        <f>AVERAGE(H60:H71)</f>
        <v>100.0042785055621</v>
      </c>
    </row>
    <row r="73" spans="1:8" ht="26.25" customHeight="1" x14ac:dyDescent="0.4">
      <c r="C73" s="142"/>
      <c r="D73" s="142"/>
      <c r="E73" s="142"/>
      <c r="F73" s="145" t="s">
        <v>84</v>
      </c>
      <c r="G73" s="204">
        <f>STDEV(G60:G71)/G72</f>
        <v>5.2790673810722112E-3</v>
      </c>
      <c r="H73" s="204">
        <f>STDEV(H60:H71)/H72</f>
        <v>5.2790673810722217E-3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30" t="str">
        <f>B26</f>
        <v>SULFAMETHOXAZOLE</v>
      </c>
      <c r="D76" s="530"/>
      <c r="E76" s="150" t="s">
        <v>108</v>
      </c>
      <c r="F76" s="150"/>
      <c r="G76" s="236">
        <f>H72</f>
        <v>100.0042785055621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4" t="str">
        <f>B26</f>
        <v>SULFAMETHOXAZOLE</v>
      </c>
      <c r="C79" s="564"/>
    </row>
    <row r="80" spans="1:8" ht="26.25" customHeight="1" x14ac:dyDescent="0.4">
      <c r="A80" s="61" t="s">
        <v>48</v>
      </c>
      <c r="B80" s="564" t="str">
        <f>B27</f>
        <v>S12-6</v>
      </c>
      <c r="C80" s="564"/>
    </row>
    <row r="81" spans="1:12" ht="27" customHeight="1" x14ac:dyDescent="0.4">
      <c r="A81" s="61" t="s">
        <v>6</v>
      </c>
      <c r="B81" s="153">
        <f>B28</f>
        <v>99.02</v>
      </c>
    </row>
    <row r="82" spans="1:12" s="3" customFormat="1" ht="27" customHeight="1" x14ac:dyDescent="0.4">
      <c r="A82" s="61" t="s">
        <v>49</v>
      </c>
      <c r="B82" s="63">
        <v>0</v>
      </c>
      <c r="C82" s="532" t="s">
        <v>50</v>
      </c>
      <c r="D82" s="533"/>
      <c r="E82" s="533"/>
      <c r="F82" s="533"/>
      <c r="G82" s="53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5" t="s">
        <v>111</v>
      </c>
      <c r="D84" s="536"/>
      <c r="E84" s="536"/>
      <c r="F84" s="536"/>
      <c r="G84" s="536"/>
      <c r="H84" s="53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5" t="s">
        <v>112</v>
      </c>
      <c r="D85" s="536"/>
      <c r="E85" s="536"/>
      <c r="F85" s="536"/>
      <c r="G85" s="536"/>
      <c r="H85" s="53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38" t="s">
        <v>60</v>
      </c>
      <c r="G89" s="539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38302842</v>
      </c>
      <c r="E91" s="85">
        <f>IF(ISBLANK(D91),"-",$D$101/$D$98*D91)</f>
        <v>40571012.639699936</v>
      </c>
      <c r="F91" s="271">
        <v>38534891</v>
      </c>
      <c r="G91" s="86">
        <f>IF(ISBLANK(F91),"-",$D$101/$F$98*F91)</f>
        <v>42288802.445437722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38024567</v>
      </c>
      <c r="E92" s="90">
        <f>IF(ISBLANK(D92),"-",$D$101/$D$98*D92)</f>
        <v>40276259.092631221</v>
      </c>
      <c r="F92" s="276">
        <v>37533009</v>
      </c>
      <c r="G92" s="91">
        <f>IF(ISBLANK(F92),"-",$D$101/$F$98*F92)</f>
        <v>41189321.199425116</v>
      </c>
      <c r="I92" s="540">
        <f>ABS((F96/D96*D95)-F95)/D95</f>
        <v>1.806189278781194E-2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39477710</v>
      </c>
      <c r="E93" s="90">
        <f>IF(ISBLANK(D93),"-",$D$101/$D$98*D93)</f>
        <v>41815452.529512264</v>
      </c>
      <c r="F93" s="276">
        <v>37797904</v>
      </c>
      <c r="G93" s="91">
        <f>IF(ISBLANK(F93),"-",$D$101/$F$98*F93)</f>
        <v>41480021.18671155</v>
      </c>
      <c r="I93" s="54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281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0" t="s">
        <v>71</v>
      </c>
      <c r="D95" s="161">
        <f>AVERAGE(D91:D94)</f>
        <v>38601706.333333336</v>
      </c>
      <c r="E95" s="100">
        <f>AVERAGE(E91:E94)</f>
        <v>40887574.753947802</v>
      </c>
      <c r="F95" s="162">
        <f>AVERAGE(F91:F94)</f>
        <v>37955268</v>
      </c>
      <c r="G95" s="163">
        <f>AVERAGE(G91:G94)</f>
        <v>41652714.943858124</v>
      </c>
    </row>
    <row r="96" spans="1:12" ht="26.25" customHeight="1" x14ac:dyDescent="0.4">
      <c r="A96" s="76" t="s">
        <v>72</v>
      </c>
      <c r="B96" s="62">
        <v>1</v>
      </c>
      <c r="C96" s="164" t="s">
        <v>113</v>
      </c>
      <c r="D96" s="165">
        <v>16.95</v>
      </c>
      <c r="E96" s="92"/>
      <c r="F96" s="104">
        <v>16.36</v>
      </c>
    </row>
    <row r="97" spans="1:10" ht="26.25" customHeight="1" x14ac:dyDescent="0.4">
      <c r="A97" s="76" t="s">
        <v>74</v>
      </c>
      <c r="B97" s="62">
        <v>1</v>
      </c>
      <c r="C97" s="166" t="s">
        <v>114</v>
      </c>
      <c r="D97" s="167">
        <f>D96*$B$87</f>
        <v>16.95</v>
      </c>
      <c r="E97" s="107"/>
      <c r="F97" s="106">
        <f>F96*$B$87</f>
        <v>16.36</v>
      </c>
    </row>
    <row r="98" spans="1:10" ht="19.5" customHeight="1" x14ac:dyDescent="0.3">
      <c r="A98" s="76" t="s">
        <v>76</v>
      </c>
      <c r="B98" s="168">
        <f>(B97/B96)*(B95/B94)*(B93/B92)*(B91/B90)*B89</f>
        <v>100</v>
      </c>
      <c r="C98" s="166" t="s">
        <v>115</v>
      </c>
      <c r="D98" s="169">
        <f>D97*$B$83/100</f>
        <v>16.78389</v>
      </c>
      <c r="E98" s="110"/>
      <c r="F98" s="109">
        <f>F97*$B$83/100</f>
        <v>16.199672</v>
      </c>
    </row>
    <row r="99" spans="1:10" ht="19.5" customHeight="1" x14ac:dyDescent="0.3">
      <c r="A99" s="526" t="s">
        <v>78</v>
      </c>
      <c r="B99" s="541"/>
      <c r="C99" s="166" t="s">
        <v>116</v>
      </c>
      <c r="D99" s="170">
        <f>D98/$B$98</f>
        <v>0.16783889999999999</v>
      </c>
      <c r="E99" s="110"/>
      <c r="F99" s="113">
        <f>F98/$B$98</f>
        <v>0.16199671999999998</v>
      </c>
      <c r="G99" s="171"/>
      <c r="H99" s="102"/>
    </row>
    <row r="100" spans="1:10" ht="19.5" customHeight="1" x14ac:dyDescent="0.3">
      <c r="A100" s="528"/>
      <c r="B100" s="542"/>
      <c r="C100" s="166" t="s">
        <v>80</v>
      </c>
      <c r="D100" s="172">
        <f>$B$56/$B$116</f>
        <v>0.17777777777777778</v>
      </c>
      <c r="F100" s="118"/>
      <c r="G100" s="173"/>
      <c r="H100" s="102"/>
    </row>
    <row r="101" spans="1:10" ht="18.75" x14ac:dyDescent="0.3">
      <c r="C101" s="166" t="s">
        <v>81</v>
      </c>
      <c r="D101" s="167">
        <f>D100*$B$98</f>
        <v>17.777777777777779</v>
      </c>
      <c r="F101" s="118"/>
      <c r="G101" s="171"/>
      <c r="H101" s="102"/>
    </row>
    <row r="102" spans="1:10" ht="19.5" customHeight="1" x14ac:dyDescent="0.3">
      <c r="C102" s="174" t="s">
        <v>82</v>
      </c>
      <c r="D102" s="175">
        <f>D101/B34</f>
        <v>17.777777777777779</v>
      </c>
      <c r="F102" s="122"/>
      <c r="G102" s="171"/>
      <c r="H102" s="102"/>
      <c r="J102" s="176"/>
    </row>
    <row r="103" spans="1:10" ht="18.75" x14ac:dyDescent="0.3">
      <c r="C103" s="177" t="s">
        <v>117</v>
      </c>
      <c r="D103" s="178">
        <f>AVERAGE(E91:E94,G91:G94)</f>
        <v>41270144.848902971</v>
      </c>
      <c r="F103" s="122"/>
      <c r="G103" s="179"/>
      <c r="H103" s="102"/>
      <c r="J103" s="180"/>
    </row>
    <row r="104" spans="1:10" ht="18.75" x14ac:dyDescent="0.3">
      <c r="C104" s="145" t="s">
        <v>84</v>
      </c>
      <c r="D104" s="181">
        <f>STDEV(E91:E94,G91:G94)/D103</f>
        <v>1.8332805088000517E-2</v>
      </c>
      <c r="F104" s="122"/>
      <c r="G104" s="171"/>
      <c r="H104" s="102"/>
      <c r="J104" s="180"/>
    </row>
    <row r="105" spans="1:10" ht="19.5" customHeight="1" x14ac:dyDescent="0.3">
      <c r="C105" s="147" t="s">
        <v>20</v>
      </c>
      <c r="D105" s="182">
        <f>COUNT(E91:E94,G91:G94)</f>
        <v>6</v>
      </c>
      <c r="F105" s="122"/>
      <c r="G105" s="171"/>
      <c r="H105" s="102"/>
      <c r="J105" s="180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">
      <c r="A108" s="76" t="s">
        <v>122</v>
      </c>
      <c r="B108" s="77">
        <v>10</v>
      </c>
      <c r="C108" s="226">
        <v>1</v>
      </c>
      <c r="D108" s="227">
        <v>39478577</v>
      </c>
      <c r="E108" s="201">
        <f t="shared" ref="E108:E113" si="1">IF(ISBLANK(D108),"-",D108/$D$103*$D$100*$B$116)</f>
        <v>765.27140177555066</v>
      </c>
      <c r="F108" s="228">
        <f t="shared" ref="F108:F113" si="2">IF(ISBLANK(D108), "-", (E108/$B$56)*100)</f>
        <v>95.658925221943832</v>
      </c>
    </row>
    <row r="109" spans="1:10" ht="26.25" customHeight="1" x14ac:dyDescent="0.4">
      <c r="A109" s="76" t="s">
        <v>95</v>
      </c>
      <c r="B109" s="77">
        <v>50</v>
      </c>
      <c r="C109" s="222">
        <v>2</v>
      </c>
      <c r="D109" s="224">
        <v>39987492</v>
      </c>
      <c r="E109" s="202">
        <f t="shared" si="1"/>
        <v>775.13645074716408</v>
      </c>
      <c r="F109" s="229">
        <f t="shared" si="2"/>
        <v>96.89205634339551</v>
      </c>
    </row>
    <row r="110" spans="1:10" ht="26.25" customHeight="1" x14ac:dyDescent="0.4">
      <c r="A110" s="76" t="s">
        <v>96</v>
      </c>
      <c r="B110" s="77">
        <v>1</v>
      </c>
      <c r="C110" s="222">
        <v>3</v>
      </c>
      <c r="D110" s="224">
        <v>40590375</v>
      </c>
      <c r="E110" s="202">
        <f t="shared" si="1"/>
        <v>786.82301985822005</v>
      </c>
      <c r="F110" s="229">
        <f t="shared" si="2"/>
        <v>98.352877482277506</v>
      </c>
    </row>
    <row r="111" spans="1:10" ht="26.25" customHeight="1" x14ac:dyDescent="0.4">
      <c r="A111" s="76" t="s">
        <v>97</v>
      </c>
      <c r="B111" s="77">
        <v>1</v>
      </c>
      <c r="C111" s="222">
        <v>4</v>
      </c>
      <c r="D111" s="224">
        <v>39960028</v>
      </c>
      <c r="E111" s="202">
        <f t="shared" si="1"/>
        <v>774.60407558636814</v>
      </c>
      <c r="F111" s="229">
        <f t="shared" si="2"/>
        <v>96.825509448296017</v>
      </c>
    </row>
    <row r="112" spans="1:10" ht="26.25" customHeight="1" x14ac:dyDescent="0.4">
      <c r="A112" s="76" t="s">
        <v>98</v>
      </c>
      <c r="B112" s="77">
        <v>1</v>
      </c>
      <c r="C112" s="222">
        <v>5</v>
      </c>
      <c r="D112" s="224">
        <v>40821745</v>
      </c>
      <c r="E112" s="202">
        <f t="shared" si="1"/>
        <v>791.3080053284109</v>
      </c>
      <c r="F112" s="229">
        <f t="shared" si="2"/>
        <v>98.913500666051362</v>
      </c>
    </row>
    <row r="113" spans="1:10" ht="27" customHeight="1" x14ac:dyDescent="0.4">
      <c r="A113" s="76" t="s">
        <v>100</v>
      </c>
      <c r="B113" s="77">
        <v>1</v>
      </c>
      <c r="C113" s="223">
        <v>6</v>
      </c>
      <c r="D113" s="225">
        <v>39600367</v>
      </c>
      <c r="E113" s="203">
        <f t="shared" si="1"/>
        <v>767.63223671704941</v>
      </c>
      <c r="F113" s="230">
        <f t="shared" si="2"/>
        <v>95.954029589631176</v>
      </c>
    </row>
    <row r="114" spans="1:10" ht="27" customHeight="1" x14ac:dyDescent="0.4">
      <c r="A114" s="76" t="s">
        <v>101</v>
      </c>
      <c r="B114" s="77">
        <v>1</v>
      </c>
      <c r="C114" s="184"/>
      <c r="D114" s="143"/>
      <c r="E114" s="50"/>
      <c r="F114" s="231"/>
    </row>
    <row r="115" spans="1:10" ht="26.25" customHeight="1" x14ac:dyDescent="0.4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776.79586500212724</v>
      </c>
      <c r="F115" s="232">
        <f>AVERAGE(F108:F113)</f>
        <v>97.099483125265905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5"/>
      <c r="D116" s="209" t="s">
        <v>84</v>
      </c>
      <c r="E116" s="207">
        <f>STDEV(E108:E113)/E115</f>
        <v>1.3322427429092319E-2</v>
      </c>
      <c r="F116" s="186">
        <f>STDEV(F108:F113)/F115</f>
        <v>1.3322427429092319E-2</v>
      </c>
      <c r="I116" s="50"/>
    </row>
    <row r="117" spans="1:10" ht="27" customHeight="1" x14ac:dyDescent="0.4">
      <c r="A117" s="526" t="s">
        <v>78</v>
      </c>
      <c r="B117" s="527"/>
      <c r="C117" s="187"/>
      <c r="D117" s="147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528"/>
      <c r="B118" s="529"/>
      <c r="C118" s="50"/>
      <c r="D118" s="211"/>
      <c r="E118" s="554" t="s">
        <v>123</v>
      </c>
      <c r="F118" s="555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124</v>
      </c>
      <c r="E119" s="214">
        <f>MIN(E108:E113)</f>
        <v>765.27140177555066</v>
      </c>
      <c r="F119" s="233">
        <f>MIN(F108:F113)</f>
        <v>95.658925221943832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9" t="s">
        <v>125</v>
      </c>
      <c r="E120" s="215">
        <f>MAX(E108:E113)</f>
        <v>791.3080053284109</v>
      </c>
      <c r="F120" s="234">
        <f>MAX(F108:F113)</f>
        <v>98.913500666051362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0" t="str">
        <f>B26</f>
        <v>SULFAMETHOXAZOLE</v>
      </c>
      <c r="D124" s="530"/>
      <c r="E124" s="150" t="s">
        <v>127</v>
      </c>
      <c r="F124" s="150"/>
      <c r="G124" s="235">
        <f>F115</f>
        <v>97.099483125265905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5">
        <f>MIN(F108:F113)</f>
        <v>95.658925221943832</v>
      </c>
      <c r="E125" s="160" t="s">
        <v>130</v>
      </c>
      <c r="F125" s="235">
        <f>MAX(F108:F113)</f>
        <v>98.913500666051362</v>
      </c>
      <c r="G125" s="151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531" t="s">
        <v>26</v>
      </c>
      <c r="C127" s="531"/>
      <c r="E127" s="156" t="s">
        <v>27</v>
      </c>
      <c r="F127" s="190"/>
      <c r="G127" s="531" t="s">
        <v>28</v>
      </c>
      <c r="H127" s="531"/>
    </row>
    <row r="128" spans="1:10" ht="69.95" customHeight="1" x14ac:dyDescent="0.3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30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0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4" t="s">
        <v>45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 x14ac:dyDescent="0.25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 x14ac:dyDescent="0.25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 x14ac:dyDescent="0.25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 x14ac:dyDescent="0.25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 x14ac:dyDescent="0.25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 x14ac:dyDescent="0.25">
      <c r="A7" s="524"/>
      <c r="B7" s="524"/>
      <c r="C7" s="524"/>
      <c r="D7" s="524"/>
      <c r="E7" s="524"/>
      <c r="F7" s="524"/>
      <c r="G7" s="524"/>
      <c r="H7" s="524"/>
      <c r="I7" s="524"/>
    </row>
    <row r="8" spans="1:9" x14ac:dyDescent="0.25">
      <c r="A8" s="525" t="s">
        <v>46</v>
      </c>
      <c r="B8" s="525"/>
      <c r="C8" s="525"/>
      <c r="D8" s="525"/>
      <c r="E8" s="525"/>
      <c r="F8" s="525"/>
      <c r="G8" s="525"/>
      <c r="H8" s="525"/>
      <c r="I8" s="525"/>
    </row>
    <row r="9" spans="1:9" x14ac:dyDescent="0.25">
      <c r="A9" s="525"/>
      <c r="B9" s="525"/>
      <c r="C9" s="525"/>
      <c r="D9" s="525"/>
      <c r="E9" s="525"/>
      <c r="F9" s="525"/>
      <c r="G9" s="525"/>
      <c r="H9" s="525"/>
      <c r="I9" s="525"/>
    </row>
    <row r="10" spans="1:9" x14ac:dyDescent="0.25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 x14ac:dyDescent="0.25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 x14ac:dyDescent="0.25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 x14ac:dyDescent="0.25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 x14ac:dyDescent="0.25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x14ac:dyDescent="0.3">
      <c r="A15" s="237"/>
    </row>
    <row r="16" spans="1:9" ht="19.5" customHeight="1" x14ac:dyDescent="0.3">
      <c r="A16" s="557" t="s">
        <v>31</v>
      </c>
      <c r="B16" s="558"/>
      <c r="C16" s="558"/>
      <c r="D16" s="558"/>
      <c r="E16" s="558"/>
      <c r="F16" s="558"/>
      <c r="G16" s="558"/>
      <c r="H16" s="559"/>
    </row>
    <row r="17" spans="1:14" ht="20.25" customHeight="1" x14ac:dyDescent="0.25">
      <c r="A17" s="560" t="s">
        <v>47</v>
      </c>
      <c r="B17" s="560"/>
      <c r="C17" s="560"/>
      <c r="D17" s="560"/>
      <c r="E17" s="560"/>
      <c r="F17" s="560"/>
      <c r="G17" s="560"/>
      <c r="H17" s="560"/>
    </row>
    <row r="18" spans="1:14" ht="26.25" customHeight="1" x14ac:dyDescent="0.4">
      <c r="A18" s="239" t="s">
        <v>33</v>
      </c>
      <c r="B18" s="556" t="s">
        <v>5</v>
      </c>
      <c r="C18" s="556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61" t="s">
        <v>136</v>
      </c>
      <c r="C20" s="561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61" t="s">
        <v>11</v>
      </c>
      <c r="C21" s="561"/>
      <c r="D21" s="561"/>
      <c r="E21" s="561"/>
      <c r="F21" s="561"/>
      <c r="G21" s="561"/>
      <c r="H21" s="561"/>
      <c r="I21" s="243"/>
    </row>
    <row r="22" spans="1:14" ht="26.25" customHeight="1" x14ac:dyDescent="0.4">
      <c r="A22" s="239" t="s">
        <v>37</v>
      </c>
      <c r="B22" s="244">
        <v>43130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43132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56" t="s">
        <v>137</v>
      </c>
      <c r="C26" s="556"/>
    </row>
    <row r="27" spans="1:14" ht="26.25" customHeight="1" x14ac:dyDescent="0.4">
      <c r="A27" s="248" t="s">
        <v>48</v>
      </c>
      <c r="B27" s="562" t="s">
        <v>138</v>
      </c>
      <c r="C27" s="562"/>
    </row>
    <row r="28" spans="1:14" ht="27" customHeight="1" x14ac:dyDescent="0.4">
      <c r="A28" s="248" t="s">
        <v>6</v>
      </c>
      <c r="B28" s="249">
        <v>99.75</v>
      </c>
    </row>
    <row r="29" spans="1:14" s="3" customFormat="1" ht="27" customHeight="1" x14ac:dyDescent="0.4">
      <c r="A29" s="248" t="s">
        <v>49</v>
      </c>
      <c r="B29" s="250">
        <v>0</v>
      </c>
      <c r="C29" s="532" t="s">
        <v>50</v>
      </c>
      <c r="D29" s="533"/>
      <c r="E29" s="533"/>
      <c r="F29" s="533"/>
      <c r="G29" s="534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99.75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5" t="s">
        <v>53</v>
      </c>
      <c r="D31" s="536"/>
      <c r="E31" s="536"/>
      <c r="F31" s="536"/>
      <c r="G31" s="536"/>
      <c r="H31" s="537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5" t="s">
        <v>55</v>
      </c>
      <c r="D32" s="536"/>
      <c r="E32" s="536"/>
      <c r="F32" s="536"/>
      <c r="G32" s="536"/>
      <c r="H32" s="537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38" t="s">
        <v>59</v>
      </c>
      <c r="E36" s="563"/>
      <c r="F36" s="538" t="s">
        <v>60</v>
      </c>
      <c r="G36" s="539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2683088</v>
      </c>
      <c r="E38" s="272">
        <f>IF(ISBLANK(D38),"-",$D$48/$D$45*D38)</f>
        <v>2610201.3889648919</v>
      </c>
      <c r="F38" s="271">
        <v>2852486</v>
      </c>
      <c r="G38" s="273">
        <f>IF(ISBLANK(F38),"-",$D$48/$F$45*F38)</f>
        <v>2665083.9587318711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2663031</v>
      </c>
      <c r="E39" s="277">
        <f>IF(ISBLANK(D39),"-",$D$48/$D$45*D39)</f>
        <v>2590689.241298297</v>
      </c>
      <c r="F39" s="276">
        <v>2871708</v>
      </c>
      <c r="G39" s="278">
        <f>IF(ISBLANK(F39),"-",$D$48/$F$45*F39)</f>
        <v>2683043.1157109919</v>
      </c>
      <c r="I39" s="540">
        <f>ABS((F43/D43*D42)-F42)/D42</f>
        <v>2.2622941013511637E-2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2705013</v>
      </c>
      <c r="E40" s="277">
        <f>IF(ISBLANK(D40),"-",$D$48/$D$45*D40)</f>
        <v>2631530.7920456165</v>
      </c>
      <c r="F40" s="276">
        <v>2841124</v>
      </c>
      <c r="G40" s="278">
        <f>IF(ISBLANK(F40),"-",$D$48/$F$45*F40)</f>
        <v>2654468.4170818469</v>
      </c>
      <c r="I40" s="540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2683710.6666666665</v>
      </c>
      <c r="E42" s="287">
        <f>AVERAGE(E38:E41)</f>
        <v>2610807.1407696018</v>
      </c>
      <c r="F42" s="286">
        <f>AVERAGE(F38:F41)</f>
        <v>2855106</v>
      </c>
      <c r="G42" s="288">
        <f>AVERAGE(G38:G41)</f>
        <v>2667531.8305082368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20.61</v>
      </c>
      <c r="E43" s="279"/>
      <c r="F43" s="291">
        <v>21.46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20.61</v>
      </c>
      <c r="E44" s="294"/>
      <c r="F44" s="293">
        <f>F43*$B$34</f>
        <v>21.46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20.558474999999998</v>
      </c>
      <c r="E45" s="297"/>
      <c r="F45" s="296">
        <f>F44*$B$30/100</f>
        <v>21.406350000000003</v>
      </c>
      <c r="H45" s="289"/>
    </row>
    <row r="46" spans="1:14" ht="19.5" customHeight="1" x14ac:dyDescent="0.3">
      <c r="A46" s="526" t="s">
        <v>78</v>
      </c>
      <c r="B46" s="527"/>
      <c r="C46" s="292" t="s">
        <v>79</v>
      </c>
      <c r="D46" s="298">
        <f>D45/$B$45</f>
        <v>3.2893559999999995E-2</v>
      </c>
      <c r="E46" s="299"/>
      <c r="F46" s="300">
        <f>F45/$B$45</f>
        <v>3.4250160000000009E-2</v>
      </c>
      <c r="H46" s="289"/>
    </row>
    <row r="47" spans="1:14" ht="27" customHeight="1" x14ac:dyDescent="0.4">
      <c r="A47" s="528"/>
      <c r="B47" s="529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2639169.4856389198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1.3211145054020044E-2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Sulfamethoxazole BP 800 mg and Trimethoprim BP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 xml:space="preserve"> Trimethoprim </v>
      </c>
      <c r="H56" s="318"/>
    </row>
    <row r="57" spans="1:12" ht="18.75" x14ac:dyDescent="0.3">
      <c r="A57" s="315" t="s">
        <v>88</v>
      </c>
      <c r="B57" s="386">
        <f>Uniformity!C46</f>
        <v>1086.4274999999998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2</v>
      </c>
      <c r="C60" s="543" t="s">
        <v>94</v>
      </c>
      <c r="D60" s="546">
        <v>1086.28</v>
      </c>
      <c r="E60" s="321">
        <v>1</v>
      </c>
      <c r="F60" s="322">
        <v>2809932</v>
      </c>
      <c r="G60" s="387">
        <f>IF(ISBLANK(F60),"-",(F60/$D$50*$D$47*$B$68)*($B$57/$D$60))</f>
        <v>170.37563130604678</v>
      </c>
      <c r="H60" s="405">
        <f t="shared" ref="H60:H71" si="0">IF(ISBLANK(F60),"-",(G60/$B$56)*100)</f>
        <v>106.48476956627924</v>
      </c>
      <c r="L60" s="251"/>
    </row>
    <row r="61" spans="1:12" s="3" customFormat="1" ht="26.25" customHeight="1" x14ac:dyDescent="0.4">
      <c r="A61" s="263" t="s">
        <v>95</v>
      </c>
      <c r="B61" s="264">
        <v>100</v>
      </c>
      <c r="C61" s="544"/>
      <c r="D61" s="547"/>
      <c r="E61" s="323">
        <v>2</v>
      </c>
      <c r="F61" s="276">
        <v>2808851</v>
      </c>
      <c r="G61" s="388">
        <f>IF(ISBLANK(F61),"-",(F61/$D$50*$D$47*$B$68)*($B$57/$D$60))</f>
        <v>170.31008663897234</v>
      </c>
      <c r="H61" s="406">
        <f t="shared" si="0"/>
        <v>106.4438041493577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4"/>
      <c r="D62" s="547"/>
      <c r="E62" s="323">
        <v>3</v>
      </c>
      <c r="F62" s="324">
        <v>2802753</v>
      </c>
      <c r="G62" s="388">
        <f>IF(ISBLANK(F62),"-",(F62/$D$50*$D$47*$B$68)*($B$57/$D$60))</f>
        <v>169.9403443819696</v>
      </c>
      <c r="H62" s="406">
        <f t="shared" si="0"/>
        <v>106.21271523873099</v>
      </c>
      <c r="L62" s="251"/>
    </row>
    <row r="63" spans="1:12" ht="27" customHeight="1" x14ac:dyDescent="0.4">
      <c r="A63" s="263" t="s">
        <v>97</v>
      </c>
      <c r="B63" s="264">
        <v>1</v>
      </c>
      <c r="C63" s="553"/>
      <c r="D63" s="548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3" t="s">
        <v>99</v>
      </c>
      <c r="D64" s="546">
        <v>1088.3599999999999</v>
      </c>
      <c r="E64" s="321">
        <v>1</v>
      </c>
      <c r="F64" s="322">
        <v>2783168</v>
      </c>
      <c r="G64" s="387">
        <f>IF(ISBLANK(F64),"-",(F64/$D$50*$D$47*$B$68)*($B$57/$D$64))</f>
        <v>168.43033092646291</v>
      </c>
      <c r="H64" s="405">
        <f t="shared" si="0"/>
        <v>105.26895682903931</v>
      </c>
    </row>
    <row r="65" spans="1:8" ht="26.25" customHeight="1" x14ac:dyDescent="0.4">
      <c r="A65" s="263" t="s">
        <v>100</v>
      </c>
      <c r="B65" s="264">
        <v>1</v>
      </c>
      <c r="C65" s="544"/>
      <c r="D65" s="547"/>
      <c r="E65" s="323">
        <v>2</v>
      </c>
      <c r="F65" s="276">
        <v>2790987</v>
      </c>
      <c r="G65" s="388">
        <f>IF(ISBLANK(F65),"-",(F65/$D$50*$D$47*$B$68)*($B$57/$D$64))</f>
        <v>168.90351715076346</v>
      </c>
      <c r="H65" s="406">
        <f t="shared" si="0"/>
        <v>105.56469821922715</v>
      </c>
    </row>
    <row r="66" spans="1:8" ht="26.25" customHeight="1" x14ac:dyDescent="0.4">
      <c r="A66" s="263" t="s">
        <v>101</v>
      </c>
      <c r="B66" s="264">
        <v>1</v>
      </c>
      <c r="C66" s="544"/>
      <c r="D66" s="547"/>
      <c r="E66" s="323">
        <v>3</v>
      </c>
      <c r="F66" s="276">
        <v>2816908</v>
      </c>
      <c r="G66" s="388">
        <f>IF(ISBLANK(F66),"-",(F66/$D$50*$D$47*$B$68)*($B$57/$D$64))</f>
        <v>170.47219090956807</v>
      </c>
      <c r="H66" s="406">
        <f t="shared" si="0"/>
        <v>106.54511931848005</v>
      </c>
    </row>
    <row r="67" spans="1:8" ht="27" customHeight="1" x14ac:dyDescent="0.4">
      <c r="A67" s="263" t="s">
        <v>102</v>
      </c>
      <c r="B67" s="264">
        <v>1</v>
      </c>
      <c r="C67" s="553"/>
      <c r="D67" s="548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5000</v>
      </c>
      <c r="C68" s="543" t="s">
        <v>104</v>
      </c>
      <c r="D68" s="546">
        <v>1077.51</v>
      </c>
      <c r="E68" s="321">
        <v>1</v>
      </c>
      <c r="F68" s="322">
        <v>2792067</v>
      </c>
      <c r="G68" s="387">
        <f>IF(ISBLANK(F68),"-",(F68/$D$50*$D$47*$B$68)*($B$57/$D$68))</f>
        <v>170.67031018027049</v>
      </c>
      <c r="H68" s="406">
        <f t="shared" si="0"/>
        <v>106.66894386266905</v>
      </c>
    </row>
    <row r="69" spans="1:8" ht="27" customHeight="1" x14ac:dyDescent="0.4">
      <c r="A69" s="311" t="s">
        <v>105</v>
      </c>
      <c r="B69" s="328">
        <f>(D47*B68)/B56*B57</f>
        <v>1086.4274999999998</v>
      </c>
      <c r="C69" s="544"/>
      <c r="D69" s="547"/>
      <c r="E69" s="323">
        <v>2</v>
      </c>
      <c r="F69" s="276">
        <v>2758450</v>
      </c>
      <c r="G69" s="388">
        <f>IF(ISBLANK(F69),"-",(F69/$D$50*$D$47*$B$68)*($B$57/$D$68))</f>
        <v>168.61540826805626</v>
      </c>
      <c r="H69" s="406">
        <f t="shared" si="0"/>
        <v>105.38463016753516</v>
      </c>
    </row>
    <row r="70" spans="1:8" ht="26.25" customHeight="1" x14ac:dyDescent="0.4">
      <c r="A70" s="549" t="s">
        <v>78</v>
      </c>
      <c r="B70" s="550"/>
      <c r="C70" s="544"/>
      <c r="D70" s="547"/>
      <c r="E70" s="323">
        <v>3</v>
      </c>
      <c r="F70" s="276">
        <v>2792813</v>
      </c>
      <c r="G70" s="388">
        <f>IF(ISBLANK(F70),"-",(F70/$D$50*$D$47*$B$68)*($B$57/$D$68))</f>
        <v>170.7159108235912</v>
      </c>
      <c r="H70" s="406">
        <f t="shared" si="0"/>
        <v>106.6974442647445</v>
      </c>
    </row>
    <row r="71" spans="1:8" ht="27" customHeight="1" x14ac:dyDescent="0.4">
      <c r="A71" s="551"/>
      <c r="B71" s="552"/>
      <c r="C71" s="545"/>
      <c r="D71" s="548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169.82597006507791</v>
      </c>
      <c r="H72" s="408">
        <f>AVERAGE(H60:H71)</f>
        <v>106.14123129067369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5.4033202010887633E-3</v>
      </c>
      <c r="H73" s="392">
        <f>STDEV(H60:H71)/H72</f>
        <v>5.4033202010887894E-3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30" t="str">
        <f>B26</f>
        <v>TRIMETHOPRIM</v>
      </c>
      <c r="D76" s="530"/>
      <c r="E76" s="337" t="s">
        <v>108</v>
      </c>
      <c r="F76" s="337"/>
      <c r="G76" s="424">
        <f>H72</f>
        <v>106.14123129067369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64" t="str">
        <f>B26</f>
        <v>TRIMETHOPRIM</v>
      </c>
      <c r="C79" s="564"/>
    </row>
    <row r="80" spans="1:8" ht="26.25" customHeight="1" x14ac:dyDescent="0.4">
      <c r="A80" s="248" t="s">
        <v>48</v>
      </c>
      <c r="B80" s="564" t="str">
        <f>B27</f>
        <v>T7-5</v>
      </c>
      <c r="C80" s="564"/>
    </row>
    <row r="81" spans="1:12" ht="27" customHeight="1" x14ac:dyDescent="0.4">
      <c r="A81" s="248" t="s">
        <v>6</v>
      </c>
      <c r="B81" s="340">
        <f>B28</f>
        <v>99.75</v>
      </c>
    </row>
    <row r="82" spans="1:12" s="3" customFormat="1" ht="27" customHeight="1" x14ac:dyDescent="0.4">
      <c r="A82" s="248" t="s">
        <v>49</v>
      </c>
      <c r="B82" s="250">
        <v>0</v>
      </c>
      <c r="C82" s="532" t="s">
        <v>50</v>
      </c>
      <c r="D82" s="533"/>
      <c r="E82" s="533"/>
      <c r="F82" s="533"/>
      <c r="G82" s="534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99.75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5" t="s">
        <v>111</v>
      </c>
      <c r="D84" s="536"/>
      <c r="E84" s="536"/>
      <c r="F84" s="536"/>
      <c r="G84" s="536"/>
      <c r="H84" s="537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5" t="s">
        <v>112</v>
      </c>
      <c r="D85" s="536"/>
      <c r="E85" s="536"/>
      <c r="F85" s="536"/>
      <c r="G85" s="536"/>
      <c r="H85" s="537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38" t="s">
        <v>60</v>
      </c>
      <c r="G89" s="539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2683088</v>
      </c>
      <c r="E91" s="272">
        <f>IF(ISBLANK(D91),"-",$D$101/$D$98*D91)</f>
        <v>2900223.7655165466</v>
      </c>
      <c r="F91" s="271">
        <v>2852486</v>
      </c>
      <c r="G91" s="273">
        <f>IF(ISBLANK(F91),"-",$D$101/$F$98*F91)</f>
        <v>2961204.3985909675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2663031</v>
      </c>
      <c r="E92" s="277">
        <f>IF(ISBLANK(D92),"-",$D$101/$D$98*D92)</f>
        <v>2878543.6014425522</v>
      </c>
      <c r="F92" s="276">
        <v>2871708</v>
      </c>
      <c r="G92" s="278">
        <f>IF(ISBLANK(F92),"-",$D$101/$F$98*F92)</f>
        <v>2981159.0174566573</v>
      </c>
      <c r="I92" s="540">
        <f>ABS((F96/D96*D95)-F95)/D95</f>
        <v>2.2622941013511637E-2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2705013</v>
      </c>
      <c r="E93" s="277">
        <f>IF(ISBLANK(D93),"-",$D$101/$D$98*D93)</f>
        <v>2923923.1022729073</v>
      </c>
      <c r="F93" s="276">
        <v>2841124</v>
      </c>
      <c r="G93" s="278">
        <f>IF(ISBLANK(F93),"-",$D$101/$F$98*F93)</f>
        <v>2949409.3523131628</v>
      </c>
      <c r="I93" s="540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2683710.6666666665</v>
      </c>
      <c r="E95" s="287">
        <f>AVERAGE(E91:E94)</f>
        <v>2900896.8230773355</v>
      </c>
      <c r="F95" s="350">
        <f>AVERAGE(F91:F94)</f>
        <v>2855106</v>
      </c>
      <c r="G95" s="351">
        <f>AVERAGE(G91:G94)</f>
        <v>2963924.2561202627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20.61</v>
      </c>
      <c r="E96" s="279"/>
      <c r="F96" s="291">
        <v>21.46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20.61</v>
      </c>
      <c r="E97" s="294"/>
      <c r="F97" s="293">
        <f>F96*$B$87</f>
        <v>21.46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20.558474999999998</v>
      </c>
      <c r="E98" s="297"/>
      <c r="F98" s="296">
        <f>F97*$B$83/100</f>
        <v>21.406350000000003</v>
      </c>
    </row>
    <row r="99" spans="1:10" ht="19.5" customHeight="1" x14ac:dyDescent="0.3">
      <c r="A99" s="526" t="s">
        <v>78</v>
      </c>
      <c r="B99" s="541"/>
      <c r="C99" s="354" t="s">
        <v>116</v>
      </c>
      <c r="D99" s="358">
        <f>D98/$B$98</f>
        <v>3.2893559999999995E-2</v>
      </c>
      <c r="E99" s="297"/>
      <c r="F99" s="300">
        <f>F98/$B$98</f>
        <v>3.4250160000000009E-2</v>
      </c>
      <c r="G99" s="359"/>
      <c r="H99" s="289"/>
    </row>
    <row r="100" spans="1:10" ht="19.5" customHeight="1" x14ac:dyDescent="0.3">
      <c r="A100" s="528"/>
      <c r="B100" s="542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2932410.5395987988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1.321114505401998E-2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3048061</v>
      </c>
      <c r="E108" s="389">
        <f t="shared" ref="E108:E113" si="1">IF(ISBLANK(D108),"-",D108/$D$103*$D$100*$B$116)</f>
        <v>166.31019204654879</v>
      </c>
      <c r="F108" s="416">
        <f t="shared" ref="F108:F113" si="2">IF(ISBLANK(D108), "-", (E108/$B$56)*100)</f>
        <v>103.94387002909301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3069175</v>
      </c>
      <c r="E109" s="390">
        <f t="shared" si="1"/>
        <v>167.46222719114428</v>
      </c>
      <c r="F109" s="417">
        <f t="shared" si="2"/>
        <v>104.66389199446517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3039880</v>
      </c>
      <c r="E110" s="390">
        <f t="shared" si="1"/>
        <v>165.86381525778609</v>
      </c>
      <c r="F110" s="417">
        <f t="shared" si="2"/>
        <v>103.6648845361163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3061401</v>
      </c>
      <c r="E111" s="390">
        <f t="shared" si="1"/>
        <v>167.03805738845006</v>
      </c>
      <c r="F111" s="417">
        <f t="shared" si="2"/>
        <v>104.39878586778129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3076717</v>
      </c>
      <c r="E112" s="390">
        <f t="shared" si="1"/>
        <v>167.87373846615321</v>
      </c>
      <c r="F112" s="417">
        <f t="shared" si="2"/>
        <v>104.92108654134576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3047835</v>
      </c>
      <c r="E113" s="391">
        <f t="shared" si="1"/>
        <v>166.29786089457954</v>
      </c>
      <c r="F113" s="418">
        <f t="shared" si="2"/>
        <v>103.93616305911222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166.807648540777</v>
      </c>
      <c r="F115" s="420">
        <f>AVERAGE(F108:F113)</f>
        <v>104.25478033798562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4.6562322874638936E-3</v>
      </c>
      <c r="F116" s="374">
        <f>STDEV(F108:F113)/F115</f>
        <v>4.6562322874638762E-3</v>
      </c>
      <c r="I116" s="237"/>
    </row>
    <row r="117" spans="1:10" ht="27" customHeight="1" x14ac:dyDescent="0.4">
      <c r="A117" s="526" t="s">
        <v>78</v>
      </c>
      <c r="B117" s="527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28"/>
      <c r="B118" s="529"/>
      <c r="C118" s="237"/>
      <c r="D118" s="399"/>
      <c r="E118" s="554" t="s">
        <v>123</v>
      </c>
      <c r="F118" s="555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165.86381525778609</v>
      </c>
      <c r="F119" s="421">
        <f>MIN(F108:F113)</f>
        <v>103.6648845361163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167.87373846615321</v>
      </c>
      <c r="F120" s="422">
        <f>MAX(F108:F113)</f>
        <v>104.92108654134576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30" t="str">
        <f>B26</f>
        <v>TRIMETHOPRIM</v>
      </c>
      <c r="D124" s="530"/>
      <c r="E124" s="337" t="s">
        <v>127</v>
      </c>
      <c r="F124" s="337"/>
      <c r="G124" s="423">
        <f>F115</f>
        <v>104.25478033798562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103.6648845361163</v>
      </c>
      <c r="E125" s="348" t="s">
        <v>130</v>
      </c>
      <c r="F125" s="423">
        <f>MAX(F108:F113)</f>
        <v>104.92108654134576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31" t="s">
        <v>26</v>
      </c>
      <c r="C127" s="531"/>
      <c r="E127" s="343" t="s">
        <v>27</v>
      </c>
      <c r="F127" s="378"/>
      <c r="G127" s="531" t="s">
        <v>28</v>
      </c>
      <c r="H127" s="531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2018-02-02T11:58:25Z</cp:lastPrinted>
  <dcterms:created xsi:type="dcterms:W3CDTF">2005-07-05T10:19:27Z</dcterms:created>
  <dcterms:modified xsi:type="dcterms:W3CDTF">2018-02-08T11:55:11Z</dcterms:modified>
</cp:coreProperties>
</file>