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3"/>
  </bookViews>
  <sheets>
    <sheet name="SST TRIMETHOPRIM" sheetId="5" r:id="rId1"/>
    <sheet name="SST SULFAMETHOXAZOLE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1">'SST SULFAMETHOXAZOLE'!$A$15:$G$62</definedName>
    <definedName name="_xlnm.Print_Area" localSheetId="0">'SST TRIMETHOPRIM'!$A$15:$H$62</definedName>
    <definedName name="_xlnm.Print_Area" localSheetId="3">SULFAMETHOXAZOLE!$A$1:$I$130</definedName>
    <definedName name="_xlnm.Print_Area" localSheetId="4">TRIMETHOPRIM!$A$1:$I$130</definedName>
    <definedName name="_xlnm.Print_Area" localSheetId="2">Uniformity!$A$12:$H$55</definedName>
  </definedNames>
  <calcPr calcId="162913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C45" i="2"/>
  <c r="C19" i="2"/>
  <c r="I92" i="4" l="1"/>
  <c r="D101" i="4"/>
  <c r="D102" i="4" s="1"/>
  <c r="B69" i="4"/>
  <c r="I39" i="4"/>
  <c r="F45" i="4"/>
  <c r="F46" i="4" s="1"/>
  <c r="D45" i="4"/>
  <c r="D46" i="4" s="1"/>
  <c r="F98" i="4"/>
  <c r="F99" i="4" s="1"/>
  <c r="I92" i="3"/>
  <c r="D101" i="3"/>
  <c r="D102" i="3" s="1"/>
  <c r="D97" i="3"/>
  <c r="D98" i="3" s="1"/>
  <c r="E92" i="3" s="1"/>
  <c r="F98" i="3"/>
  <c r="F99" i="3" s="1"/>
  <c r="I39" i="3"/>
  <c r="D49" i="3"/>
  <c r="D44" i="3"/>
  <c r="D45" i="3" s="1"/>
  <c r="F45" i="3"/>
  <c r="F46" i="3" s="1"/>
  <c r="D49" i="4"/>
  <c r="G41" i="4"/>
  <c r="D27" i="2"/>
  <c r="D31" i="2"/>
  <c r="D35" i="2"/>
  <c r="D39" i="2"/>
  <c r="D43" i="2"/>
  <c r="C49" i="2"/>
  <c r="D97" i="4"/>
  <c r="D98" i="4" s="1"/>
  <c r="D99" i="4" s="1"/>
  <c r="D24" i="2"/>
  <c r="D28" i="2"/>
  <c r="D32" i="2"/>
  <c r="D36" i="2"/>
  <c r="D40" i="2"/>
  <c r="D49" i="2"/>
  <c r="G39" i="3"/>
  <c r="B57" i="3"/>
  <c r="B69" i="3" s="1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E91" i="3" l="1"/>
  <c r="E38" i="4"/>
  <c r="G40" i="4"/>
  <c r="E39" i="4"/>
  <c r="G38" i="4"/>
  <c r="E41" i="4"/>
  <c r="G92" i="4"/>
  <c r="E93" i="4"/>
  <c r="G93" i="4"/>
  <c r="G94" i="4"/>
  <c r="E40" i="4"/>
  <c r="G39" i="4"/>
  <c r="G91" i="4"/>
  <c r="E91" i="4"/>
  <c r="G93" i="3"/>
  <c r="E94" i="3"/>
  <c r="G91" i="3"/>
  <c r="G94" i="3"/>
  <c r="G92" i="3"/>
  <c r="D46" i="3"/>
  <c r="E41" i="3"/>
  <c r="E38" i="3"/>
  <c r="G41" i="3"/>
  <c r="E40" i="3"/>
  <c r="E39" i="3"/>
  <c r="G38" i="3"/>
  <c r="G40" i="3"/>
  <c r="E92" i="4"/>
  <c r="E94" i="4"/>
  <c r="D99" i="3"/>
  <c r="E93" i="3"/>
  <c r="D103" i="4" l="1"/>
  <c r="E109" i="4" s="1"/>
  <c r="F109" i="4" s="1"/>
  <c r="D105" i="4"/>
  <c r="E42" i="4"/>
  <c r="D52" i="4"/>
  <c r="G42" i="4"/>
  <c r="D50" i="4"/>
  <c r="G65" i="4" s="1"/>
  <c r="H65" i="4" s="1"/>
  <c r="E95" i="4"/>
  <c r="G95" i="4"/>
  <c r="G95" i="3"/>
  <c r="D103" i="3"/>
  <c r="E112" i="3" s="1"/>
  <c r="F112" i="3" s="1"/>
  <c r="D105" i="3"/>
  <c r="G42" i="3"/>
  <c r="E42" i="3"/>
  <c r="D52" i="3"/>
  <c r="D50" i="3"/>
  <c r="G64" i="3" s="1"/>
  <c r="H64" i="3" s="1"/>
  <c r="E95" i="3"/>
  <c r="E111" i="4" l="1"/>
  <c r="F111" i="4" s="1"/>
  <c r="E113" i="4"/>
  <c r="F113" i="4" s="1"/>
  <c r="E110" i="4"/>
  <c r="F110" i="4" s="1"/>
  <c r="E112" i="4"/>
  <c r="F112" i="4" s="1"/>
  <c r="D104" i="4"/>
  <c r="E108" i="4"/>
  <c r="F108" i="4" s="1"/>
  <c r="G66" i="4"/>
  <c r="H66" i="4" s="1"/>
  <c r="G61" i="4"/>
  <c r="H61" i="4" s="1"/>
  <c r="G70" i="4"/>
  <c r="H70" i="4" s="1"/>
  <c r="G60" i="4"/>
  <c r="H60" i="4" s="1"/>
  <c r="D51" i="4"/>
  <c r="G62" i="4"/>
  <c r="H62" i="4" s="1"/>
  <c r="G71" i="4"/>
  <c r="H71" i="4" s="1"/>
  <c r="G64" i="4"/>
  <c r="H64" i="4" s="1"/>
  <c r="G68" i="4"/>
  <c r="H68" i="4" s="1"/>
  <c r="G67" i="4"/>
  <c r="H67" i="4" s="1"/>
  <c r="G63" i="4"/>
  <c r="H63" i="4" s="1"/>
  <c r="G69" i="4"/>
  <c r="H69" i="4" s="1"/>
  <c r="G66" i="3"/>
  <c r="H66" i="3" s="1"/>
  <c r="D104" i="3"/>
  <c r="E113" i="3"/>
  <c r="F113" i="3" s="1"/>
  <c r="E108" i="3"/>
  <c r="F108" i="3" s="1"/>
  <c r="E109" i="3"/>
  <c r="F109" i="3" s="1"/>
  <c r="E110" i="3"/>
  <c r="F110" i="3" s="1"/>
  <c r="E111" i="3"/>
  <c r="F111" i="3" s="1"/>
  <c r="G63" i="3"/>
  <c r="H63" i="3" s="1"/>
  <c r="G70" i="3"/>
  <c r="H70" i="3" s="1"/>
  <c r="G62" i="3"/>
  <c r="H62" i="3" s="1"/>
  <c r="G61" i="3"/>
  <c r="H61" i="3" s="1"/>
  <c r="G68" i="3"/>
  <c r="H68" i="3" s="1"/>
  <c r="G65" i="3"/>
  <c r="H65" i="3" s="1"/>
  <c r="G69" i="3"/>
  <c r="H69" i="3" s="1"/>
  <c r="G60" i="3"/>
  <c r="G67" i="3"/>
  <c r="H67" i="3" s="1"/>
  <c r="D51" i="3"/>
  <c r="G71" i="3"/>
  <c r="H71" i="3" s="1"/>
  <c r="E117" i="4" l="1"/>
  <c r="E119" i="4"/>
  <c r="E120" i="4"/>
  <c r="E115" i="4"/>
  <c r="E116" i="4" s="1"/>
  <c r="G74" i="4"/>
  <c r="G72" i="4"/>
  <c r="G73" i="4" s="1"/>
  <c r="E115" i="3"/>
  <c r="E116" i="3" s="1"/>
  <c r="E119" i="3"/>
  <c r="E117" i="3"/>
  <c r="E120" i="3"/>
  <c r="G74" i="3"/>
  <c r="H60" i="3"/>
  <c r="G72" i="3"/>
  <c r="G73" i="3" s="1"/>
  <c r="F119" i="3"/>
  <c r="F125" i="3"/>
  <c r="F120" i="3"/>
  <c r="F117" i="3"/>
  <c r="D125" i="3"/>
  <c r="F115" i="3"/>
  <c r="H74" i="4"/>
  <c r="H72" i="4"/>
  <c r="F125" i="4"/>
  <c r="F120" i="4"/>
  <c r="F117" i="4"/>
  <c r="D125" i="4"/>
  <c r="F115" i="4"/>
  <c r="F119" i="4"/>
  <c r="H74" i="3" l="1"/>
  <c r="H72" i="3"/>
  <c r="G76" i="3" s="1"/>
  <c r="G124" i="4"/>
  <c r="F116" i="4"/>
  <c r="G124" i="3"/>
  <c r="F116" i="3"/>
  <c r="G76" i="4"/>
  <c r="H73" i="4"/>
  <c r="H73" i="3" l="1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<sst xmlns="http://schemas.openxmlformats.org/spreadsheetml/2006/main" count="454" uniqueCount="141">
  <si>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</si>
  <si>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</si>
  <si>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</si>
  <si>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</si>
  <si>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</si>
  <si>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</si>
  <si>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</si>
  <si>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NDQB201801304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</si>
  <si>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</si>
  <si>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</si>
  <si>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</si>
  <si>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</si>
  <si>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2018-01-24 08:48:36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</si>
  <si>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</si>
  <si>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</si>
  <si>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</si>
  <si>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</si>
  <si>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</si>
  <si>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</si>
  <si>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</si>
  <si>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</si>
  <si>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</si>
  <si>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</si>
  <si>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</si>
  <si>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</si>
  <si>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</si>
  <si>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</si>
  <si>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</si>
  <si>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</si>
  <si>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</si>
  <si>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</si>
  <si>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</si>
  <si>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</si>
  <si>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</si>
  <si>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</si>
  <si>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</si>
  <si>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</si>
  <si>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</si>
  <si>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</si>
  <si>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</si>
  <si>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</si>
  <si>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</si>
  <si>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</si>
  <si>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</si>
  <si>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</si>
  <si>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</si>
  <si>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</si>
  <si>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</si>
  <si>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</si>
  <si>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</si>
  <si>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</si>
  <si>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</si>
  <si>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</si>
  <si>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</si>
  <si>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</si>
  <si>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</si>
  <si>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</si>
  <si>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</si>
  <si>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</si>
  <si>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</si>
  <si>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</si>
  <si>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</si>
  <si>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</si>
  <si>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</si>
  <si>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</si>
  <si>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</si>
  <si>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</si>
  <si>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</si>
  <si>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</si>
  <si>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</si>
  <si>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</si>
  <si>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</si>
  <si>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</si>
  <si>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</si>
  <si>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</si>
  <si>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</si>
  <si>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</si>
  <si>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</si>
  <si>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</si>
  <si>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</si>
  <si>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</si>
  <si>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</si>
  <si>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</si>
  <si>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</si>
  <si>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</si>
  <si>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</si>
  <si>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</si>
  <si>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</si>
  <si>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</si>
  <si>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</si>
  <si>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</si>
  <si>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</si>
  <si>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</si>
  <si>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</si>
  <si>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</si>
  <si>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</si>
  <si>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</si>
  <si>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</si>
  <si>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</si>
  <si>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</si>
  <si>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</si>
  <si>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</si>
  <si>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</si>
  <si>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</si>
  <si>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</si>
  <si>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</si>
  <si>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</si>
  <si>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</si>
  <si>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</si>
  <si>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</si>
  <si>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</si>
  <si>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</si>
  <si>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</si>
  <si>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</si>
  <si>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</si>
  <si>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</si>
  <si>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</si>
  <si>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</si>
  <si>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</si>
  <si>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</si>
  <si>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</si>
  <si>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</si>
  <si>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</si>
  <si>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</si>
  <si>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</si>
  <si>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</si>
  <si>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</si>
  <si>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</si>
  <si>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</si>
  <si>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</si>
  <si>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</si>
  <si>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Resolution(USP)</t>
  </si>
  <si>
    <t>The Resolution between Sulfamethoxazole and Trimethoprim is greater than 5</t>
  </si>
  <si>
    <t>Sulfamethoxazole</t>
  </si>
  <si>
    <t>SULFAMETHOXAZOLE</t>
  </si>
  <si>
    <t>S12-6</t>
  </si>
  <si>
    <t xml:space="preserve">Trimethoprim </t>
  </si>
  <si>
    <t>TRIMETHOPRIM</t>
  </si>
  <si>
    <t>T7-5</t>
  </si>
  <si>
    <t>Trimethoprim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</si>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</sst>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21" sqref="B2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29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513" t="s">
        <v>0</v>
      </c>
      <c r="B15" s="513"/>
      <c r="C15" s="513"/>
      <c r="D15" s="513"/>
      <c r="E15" s="513"/>
    </row>
    <row r="16" spans="1:6" ht="16.5" customHeight="1" x14ac:dyDescent="0.3">
      <c r="A16" s="430" t="s">
        <v>1</v>
      </c>
      <c r="B16" s="431" t="s">
        <v>2</v>
      </c>
    </row>
    <row r="17" spans="1:5" ht="16.5" customHeight="1" x14ac:dyDescent="0.3">
      <c r="A17" s="432" t="s">
        <v>3</v>
      </c>
      <c r="B17" s="432" t="s">
        <v>5</v>
      </c>
      <c r="D17" s="433"/>
      <c r="E17" s="434"/>
    </row>
    <row r="18" spans="1:5" ht="16.5" customHeight="1" x14ac:dyDescent="0.3">
      <c r="A18" s="435" t="s">
        <v>4</v>
      </c>
      <c r="B18" s="436" t="s">
        <v>139</v>
      </c>
      <c r="C18" s="434"/>
      <c r="D18" s="434"/>
      <c r="E18" s="434"/>
    </row>
    <row r="19" spans="1:5" ht="16.5" customHeight="1" x14ac:dyDescent="0.3">
      <c r="A19" s="435" t="s">
        <v>6</v>
      </c>
      <c r="B19" s="427">
        <v>99.75</v>
      </c>
      <c r="C19" s="434"/>
      <c r="D19" s="434"/>
      <c r="E19" s="434"/>
    </row>
    <row r="20" spans="1:5" ht="16.5" customHeight="1" x14ac:dyDescent="0.3">
      <c r="A20" s="432" t="s">
        <v>8</v>
      </c>
      <c r="B20" s="436">
        <v>20.61</v>
      </c>
      <c r="C20" s="434"/>
      <c r="D20" s="434"/>
      <c r="E20" s="434"/>
    </row>
    <row r="21" spans="1:5" ht="16.5" customHeight="1" x14ac:dyDescent="0.3">
      <c r="A21" s="432" t="s">
        <v>10</v>
      </c>
      <c r="B21" s="437">
        <f>B20/25*4/100</f>
        <v>3.2975999999999998E-2</v>
      </c>
      <c r="C21" s="434"/>
      <c r="D21" s="434"/>
      <c r="E21" s="434"/>
    </row>
    <row r="22" spans="1:5" ht="15.75" customHeight="1" x14ac:dyDescent="0.25">
      <c r="A22" s="434"/>
      <c r="B22" s="434"/>
      <c r="C22" s="434"/>
      <c r="D22" s="434"/>
      <c r="E22" s="434"/>
    </row>
    <row r="23" spans="1:5" ht="16.5" customHeight="1" x14ac:dyDescent="0.3">
      <c r="A23" s="438" t="s">
        <v>13</v>
      </c>
      <c r="B23" s="439" t="s">
        <v>14</v>
      </c>
      <c r="C23" s="438" t="s">
        <v>15</v>
      </c>
      <c r="D23" s="438" t="s">
        <v>16</v>
      </c>
      <c r="E23" s="438" t="s">
        <v>17</v>
      </c>
    </row>
    <row r="24" spans="1:5" ht="16.5" customHeight="1" x14ac:dyDescent="0.3">
      <c r="A24" s="440">
        <v>1</v>
      </c>
      <c r="B24" s="441">
        <v>2723975</v>
      </c>
      <c r="C24" s="441">
        <v>5585.51</v>
      </c>
      <c r="D24" s="442">
        <v>1.37</v>
      </c>
      <c r="E24" s="443">
        <v>4.93</v>
      </c>
    </row>
    <row r="25" spans="1:5" ht="16.5" customHeight="1" x14ac:dyDescent="0.3">
      <c r="A25" s="440">
        <v>2</v>
      </c>
      <c r="B25" s="441">
        <v>2711915</v>
      </c>
      <c r="C25" s="441">
        <v>5585.9</v>
      </c>
      <c r="D25" s="442">
        <v>1.4</v>
      </c>
      <c r="E25" s="442">
        <v>4.93</v>
      </c>
    </row>
    <row r="26" spans="1:5" ht="16.5" customHeight="1" x14ac:dyDescent="0.3">
      <c r="A26" s="440">
        <v>3</v>
      </c>
      <c r="B26" s="441">
        <v>2714213</v>
      </c>
      <c r="C26" s="441">
        <v>5583.98</v>
      </c>
      <c r="D26" s="442">
        <v>1.36</v>
      </c>
      <c r="E26" s="442">
        <v>4.9400000000000004</v>
      </c>
    </row>
    <row r="27" spans="1:5" ht="16.5" customHeight="1" x14ac:dyDescent="0.3">
      <c r="A27" s="440">
        <v>4</v>
      </c>
      <c r="B27" s="441">
        <v>2687413</v>
      </c>
      <c r="C27" s="441">
        <v>5557.61</v>
      </c>
      <c r="D27" s="442">
        <v>1.4</v>
      </c>
      <c r="E27" s="442">
        <v>4.9400000000000004</v>
      </c>
    </row>
    <row r="28" spans="1:5" ht="16.5" customHeight="1" x14ac:dyDescent="0.3">
      <c r="A28" s="440">
        <v>5</v>
      </c>
      <c r="B28" s="441">
        <v>2716502</v>
      </c>
      <c r="C28" s="441">
        <v>5604.63</v>
      </c>
      <c r="D28" s="442">
        <v>1.36</v>
      </c>
      <c r="E28" s="442">
        <v>4.9400000000000004</v>
      </c>
    </row>
    <row r="29" spans="1:5" ht="16.5" customHeight="1" x14ac:dyDescent="0.3">
      <c r="A29" s="440">
        <v>6</v>
      </c>
      <c r="B29" s="444">
        <v>2710845</v>
      </c>
      <c r="C29" s="444">
        <v>5546.91</v>
      </c>
      <c r="D29" s="445">
        <v>1.4</v>
      </c>
      <c r="E29" s="445">
        <v>4.9400000000000004</v>
      </c>
    </row>
    <row r="30" spans="1:5" ht="16.5" customHeight="1" x14ac:dyDescent="0.3">
      <c r="A30" s="446" t="s">
        <v>18</v>
      </c>
      <c r="B30" s="447">
        <f>AVERAGE(B24:B29)</f>
        <v>2710810.5</v>
      </c>
      <c r="C30" s="448">
        <f>AVERAGE(C24:C29)</f>
        <v>5577.4233333333332</v>
      </c>
      <c r="D30" s="449">
        <f>AVERAGE(D24:D29)</f>
        <v>1.3816666666666666</v>
      </c>
      <c r="E30" s="449">
        <f>AVERAGE(E24:E29)</f>
        <v>4.9366666666666674</v>
      </c>
    </row>
    <row r="31" spans="1:5" ht="16.5" customHeight="1" x14ac:dyDescent="0.3">
      <c r="A31" s="450" t="s">
        <v>19</v>
      </c>
      <c r="B31" s="451">
        <f>(STDEV(B24:B29)/B30)</f>
        <v>4.5657565169377069E-3</v>
      </c>
      <c r="C31" s="452"/>
      <c r="D31" s="452"/>
      <c r="E31" s="453"/>
    </row>
    <row r="32" spans="1:5" s="427" customFormat="1" ht="16.5" customHeight="1" x14ac:dyDescent="0.3">
      <c r="A32" s="454" t="s">
        <v>20</v>
      </c>
      <c r="B32" s="455">
        <f>COUNT(B24:B29)</f>
        <v>6</v>
      </c>
      <c r="C32" s="456"/>
      <c r="D32" s="457"/>
      <c r="E32" s="458"/>
    </row>
    <row r="33" spans="1:5" s="427" customFormat="1" ht="15.75" customHeight="1" x14ac:dyDescent="0.25">
      <c r="A33" s="434"/>
      <c r="B33" s="434"/>
      <c r="C33" s="434"/>
      <c r="D33" s="434"/>
      <c r="E33" s="434"/>
    </row>
    <row r="34" spans="1:5" s="427" customFormat="1" ht="16.5" customHeight="1" x14ac:dyDescent="0.3">
      <c r="A34" s="435" t="s">
        <v>21</v>
      </c>
      <c r="B34" s="459" t="s">
        <v>22</v>
      </c>
      <c r="C34" s="460"/>
      <c r="D34" s="460"/>
      <c r="E34" s="460"/>
    </row>
    <row r="35" spans="1:5" ht="16.5" customHeight="1" x14ac:dyDescent="0.3">
      <c r="A35" s="435"/>
      <c r="B35" s="459" t="s">
        <v>23</v>
      </c>
      <c r="C35" s="460"/>
      <c r="D35" s="460"/>
      <c r="E35" s="460"/>
    </row>
    <row r="36" spans="1:5" ht="16.5" customHeight="1" x14ac:dyDescent="0.3">
      <c r="A36" s="435"/>
      <c r="B36" s="459" t="s">
        <v>24</v>
      </c>
      <c r="C36" s="460"/>
      <c r="D36" s="460"/>
      <c r="E36" s="460"/>
    </row>
    <row r="37" spans="1:5" ht="15.75" customHeight="1" x14ac:dyDescent="0.25">
      <c r="A37" s="434"/>
      <c r="B37" s="434"/>
      <c r="C37" s="434"/>
      <c r="D37" s="434"/>
      <c r="E37" s="434"/>
    </row>
    <row r="38" spans="1:5" ht="16.5" customHeight="1" x14ac:dyDescent="0.3">
      <c r="A38" s="430" t="s">
        <v>1</v>
      </c>
      <c r="B38" s="431" t="s">
        <v>25</v>
      </c>
    </row>
    <row r="39" spans="1:5" ht="16.5" customHeight="1" x14ac:dyDescent="0.3">
      <c r="A39" s="435" t="s">
        <v>4</v>
      </c>
      <c r="B39" s="436" t="s">
        <v>139</v>
      </c>
      <c r="C39" s="434"/>
      <c r="D39" s="434"/>
      <c r="E39" s="434"/>
    </row>
    <row r="40" spans="1:5" ht="16.5" customHeight="1" x14ac:dyDescent="0.3">
      <c r="A40" s="435" t="s">
        <v>6</v>
      </c>
      <c r="B40" s="436">
        <v>99.75</v>
      </c>
      <c r="C40" s="434"/>
      <c r="D40" s="434"/>
      <c r="E40" s="434"/>
    </row>
    <row r="41" spans="1:5" ht="16.5" customHeight="1" x14ac:dyDescent="0.3">
      <c r="A41" s="432" t="s">
        <v>8</v>
      </c>
      <c r="B41" s="436">
        <v>20.61</v>
      </c>
      <c r="C41" s="434"/>
      <c r="D41" s="434"/>
      <c r="E41" s="434"/>
    </row>
    <row r="42" spans="1:5" ht="16.5" customHeight="1" x14ac:dyDescent="0.3">
      <c r="A42" s="432" t="s">
        <v>10</v>
      </c>
      <c r="B42" s="437">
        <v>3.2975999999999998E-2</v>
      </c>
      <c r="C42" s="434"/>
      <c r="D42" s="434"/>
      <c r="E42" s="434"/>
    </row>
    <row r="43" spans="1:5" ht="15.75" customHeight="1" x14ac:dyDescent="0.25">
      <c r="A43" s="434"/>
      <c r="B43" s="434"/>
      <c r="C43" s="434"/>
      <c r="D43" s="434"/>
      <c r="E43" s="434"/>
    </row>
    <row r="44" spans="1:5" ht="16.5" customHeight="1" x14ac:dyDescent="0.3">
      <c r="A44" s="438" t="s">
        <v>13</v>
      </c>
      <c r="B44" s="439" t="s">
        <v>14</v>
      </c>
      <c r="C44" s="438" t="s">
        <v>15</v>
      </c>
      <c r="D44" s="438" t="s">
        <v>16</v>
      </c>
      <c r="E44" s="438" t="s">
        <v>17</v>
      </c>
    </row>
    <row r="45" spans="1:5" ht="16.5" customHeight="1" x14ac:dyDescent="0.3">
      <c r="A45" s="440">
        <v>1</v>
      </c>
      <c r="B45" s="441">
        <v>2723975</v>
      </c>
      <c r="C45" s="441">
        <v>5585.51</v>
      </c>
      <c r="D45" s="442">
        <v>1.37</v>
      </c>
      <c r="E45" s="443">
        <v>4.93</v>
      </c>
    </row>
    <row r="46" spans="1:5" ht="16.5" customHeight="1" x14ac:dyDescent="0.3">
      <c r="A46" s="440">
        <v>2</v>
      </c>
      <c r="B46" s="441">
        <v>2711915</v>
      </c>
      <c r="C46" s="441">
        <v>5585.9</v>
      </c>
      <c r="D46" s="442">
        <v>1.4</v>
      </c>
      <c r="E46" s="442">
        <v>4.93</v>
      </c>
    </row>
    <row r="47" spans="1:5" ht="16.5" customHeight="1" x14ac:dyDescent="0.3">
      <c r="A47" s="440">
        <v>3</v>
      </c>
      <c r="B47" s="441">
        <v>2714213</v>
      </c>
      <c r="C47" s="441">
        <v>5583.98</v>
      </c>
      <c r="D47" s="442">
        <v>1.36</v>
      </c>
      <c r="E47" s="442">
        <v>4.9400000000000004</v>
      </c>
    </row>
    <row r="48" spans="1:5" ht="16.5" customHeight="1" x14ac:dyDescent="0.3">
      <c r="A48" s="440">
        <v>4</v>
      </c>
      <c r="B48" s="441">
        <v>2687413</v>
      </c>
      <c r="C48" s="441">
        <v>5557.61</v>
      </c>
      <c r="D48" s="442">
        <v>1.4</v>
      </c>
      <c r="E48" s="442">
        <v>4.9400000000000004</v>
      </c>
    </row>
    <row r="49" spans="1:7" ht="16.5" customHeight="1" x14ac:dyDescent="0.3">
      <c r="A49" s="440">
        <v>5</v>
      </c>
      <c r="B49" s="441">
        <v>2716502</v>
      </c>
      <c r="C49" s="441">
        <v>5604.63</v>
      </c>
      <c r="D49" s="442">
        <v>1.36</v>
      </c>
      <c r="E49" s="442">
        <v>4.9400000000000004</v>
      </c>
    </row>
    <row r="50" spans="1:7" ht="16.5" customHeight="1" x14ac:dyDescent="0.3">
      <c r="A50" s="440">
        <v>6</v>
      </c>
      <c r="B50" s="444">
        <v>2710845</v>
      </c>
      <c r="C50" s="444">
        <v>5546.91</v>
      </c>
      <c r="D50" s="445">
        <v>1.4</v>
      </c>
      <c r="E50" s="445">
        <v>4.9400000000000004</v>
      </c>
    </row>
    <row r="51" spans="1:7" ht="16.5" customHeight="1" x14ac:dyDescent="0.3">
      <c r="A51" s="446" t="s">
        <v>18</v>
      </c>
      <c r="B51" s="447">
        <f>AVERAGE(B45:B50)</f>
        <v>2710810.5</v>
      </c>
      <c r="C51" s="448">
        <f>AVERAGE(C45:C50)</f>
        <v>5577.4233333333332</v>
      </c>
      <c r="D51" s="449">
        <f>AVERAGE(D45:D50)</f>
        <v>1.3816666666666666</v>
      </c>
      <c r="E51" s="449">
        <f>AVERAGE(E45:E50)</f>
        <v>4.9366666666666674</v>
      </c>
    </row>
    <row r="52" spans="1:7" ht="16.5" customHeight="1" x14ac:dyDescent="0.3">
      <c r="A52" s="450" t="s">
        <v>19</v>
      </c>
      <c r="B52" s="451">
        <f>(STDEV(B45:B50)/B51)</f>
        <v>4.5657565169377069E-3</v>
      </c>
      <c r="C52" s="452"/>
      <c r="D52" s="452"/>
      <c r="E52" s="453"/>
    </row>
    <row r="53" spans="1:7" s="427" customFormat="1" ht="16.5" customHeight="1" x14ac:dyDescent="0.3">
      <c r="A53" s="454" t="s">
        <v>20</v>
      </c>
      <c r="B53" s="455">
        <f>COUNT(B45:B50)</f>
        <v>6</v>
      </c>
      <c r="C53" s="456"/>
      <c r="D53" s="457"/>
      <c r="E53" s="458"/>
    </row>
    <row r="54" spans="1:7" s="427" customFormat="1" ht="15.75" customHeight="1" x14ac:dyDescent="0.25">
      <c r="A54" s="434"/>
      <c r="B54" s="434"/>
      <c r="C54" s="434"/>
      <c r="D54" s="434"/>
      <c r="E54" s="434"/>
    </row>
    <row r="55" spans="1:7" s="427" customFormat="1" ht="16.5" customHeight="1" x14ac:dyDescent="0.3">
      <c r="A55" s="435" t="s">
        <v>21</v>
      </c>
      <c r="B55" s="459" t="s">
        <v>22</v>
      </c>
      <c r="C55" s="460"/>
      <c r="D55" s="460"/>
      <c r="E55" s="460"/>
    </row>
    <row r="56" spans="1:7" ht="16.5" customHeight="1" x14ac:dyDescent="0.3">
      <c r="A56" s="435"/>
      <c r="B56" s="459" t="s">
        <v>23</v>
      </c>
      <c r="C56" s="460"/>
      <c r="D56" s="460"/>
      <c r="E56" s="460"/>
    </row>
    <row r="57" spans="1:7" ht="16.5" customHeight="1" x14ac:dyDescent="0.3">
      <c r="A57" s="435"/>
      <c r="B57" s="459" t="s">
        <v>24</v>
      </c>
      <c r="C57" s="460"/>
      <c r="D57" s="460"/>
      <c r="E57" s="460"/>
    </row>
    <row r="58" spans="1:7" ht="14.25" customHeight="1" thickBot="1" x14ac:dyDescent="0.3">
      <c r="A58" s="461"/>
      <c r="B58" s="462"/>
      <c r="D58" s="463"/>
      <c r="F58" s="429"/>
      <c r="G58" s="429"/>
    </row>
    <row r="59" spans="1:7" ht="15" customHeight="1" x14ac:dyDescent="0.3">
      <c r="B59" s="514" t="s">
        <v>26</v>
      </c>
      <c r="C59" s="514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/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A16" sqref="A16"/>
    </sheetView>
  </sheetViews>
  <sheetFormatPr defaultRowHeight="13.5" x14ac:dyDescent="0.25"/>
  <cols>
    <col min="1" max="1" width="27.5703125" style="471" customWidth="1"/>
    <col min="2" max="2" width="20.42578125" style="471" customWidth="1"/>
    <col min="3" max="3" width="31.85546875" style="471" customWidth="1"/>
    <col min="4" max="4" width="25.85546875" style="471" customWidth="1"/>
    <col min="5" max="5" width="25.7109375" style="471" customWidth="1"/>
    <col min="6" max="6" width="23.140625" style="471" customWidth="1"/>
    <col min="7" max="7" width="28.42578125" style="471" customWidth="1"/>
    <col min="8" max="8" width="21.5703125" style="471" customWidth="1"/>
    <col min="9" max="9" width="9.140625" style="471" customWidth="1"/>
    <col min="10" max="16384" width="9.140625" style="473"/>
  </cols>
  <sheetData>
    <row r="14" spans="1:6" ht="15" customHeight="1" x14ac:dyDescent="0.3">
      <c r="A14" s="470"/>
      <c r="C14" s="472"/>
      <c r="F14" s="472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474" t="s">
        <v>1</v>
      </c>
      <c r="B16" s="475" t="s">
        <v>2</v>
      </c>
    </row>
    <row r="17" spans="1:6" ht="16.5" customHeight="1" x14ac:dyDescent="0.3">
      <c r="A17" s="476" t="s">
        <v>3</v>
      </c>
      <c r="B17" s="476" t="s">
        <v>5</v>
      </c>
      <c r="D17" s="477"/>
      <c r="E17" s="478"/>
    </row>
    <row r="18" spans="1:6" ht="16.5" customHeight="1" x14ac:dyDescent="0.3">
      <c r="A18" s="479" t="s">
        <v>4</v>
      </c>
      <c r="B18" s="480" t="s">
        <v>133</v>
      </c>
      <c r="C18" s="478"/>
      <c r="D18" s="478"/>
      <c r="E18" s="478"/>
    </row>
    <row r="19" spans="1:6" ht="16.5" customHeight="1" x14ac:dyDescent="0.3">
      <c r="A19" s="479" t="s">
        <v>6</v>
      </c>
      <c r="B19" s="471">
        <v>99.02</v>
      </c>
      <c r="C19" s="478"/>
      <c r="D19" s="478"/>
      <c r="E19" s="478"/>
    </row>
    <row r="20" spans="1:6" ht="16.5" customHeight="1" x14ac:dyDescent="0.3">
      <c r="A20" s="476" t="s">
        <v>8</v>
      </c>
      <c r="B20" s="480">
        <v>16.95</v>
      </c>
      <c r="C20" s="478"/>
      <c r="D20" s="478"/>
      <c r="E20" s="478"/>
    </row>
    <row r="21" spans="1:6" ht="16.5" customHeight="1" x14ac:dyDescent="0.3">
      <c r="A21" s="476" t="s">
        <v>10</v>
      </c>
      <c r="B21" s="481">
        <f>B20/100</f>
        <v>0.16949999999999998</v>
      </c>
      <c r="C21" s="478"/>
      <c r="D21" s="478"/>
      <c r="E21" s="478"/>
    </row>
    <row r="22" spans="1:6" ht="15.75" customHeight="1" x14ac:dyDescent="0.25">
      <c r="A22" s="478"/>
      <c r="B22" s="478"/>
      <c r="C22" s="478"/>
      <c r="D22" s="478"/>
      <c r="E22" s="478"/>
    </row>
    <row r="23" spans="1:6" ht="16.5" customHeight="1" x14ac:dyDescent="0.3">
      <c r="A23" s="482" t="s">
        <v>13</v>
      </c>
      <c r="B23" s="483" t="s">
        <v>14</v>
      </c>
      <c r="C23" s="482" t="s">
        <v>15</v>
      </c>
      <c r="D23" s="482" t="s">
        <v>16</v>
      </c>
      <c r="E23" s="482" t="s">
        <v>17</v>
      </c>
      <c r="F23" s="482" t="s">
        <v>131</v>
      </c>
    </row>
    <row r="24" spans="1:6" ht="16.5" customHeight="1" x14ac:dyDescent="0.3">
      <c r="A24" s="484">
        <v>1</v>
      </c>
      <c r="B24" s="485">
        <v>38611048</v>
      </c>
      <c r="C24" s="485">
        <v>7283.18</v>
      </c>
      <c r="D24" s="486">
        <v>1.24</v>
      </c>
      <c r="E24" s="487">
        <v>11</v>
      </c>
      <c r="F24" s="487">
        <v>15.57</v>
      </c>
    </row>
    <row r="25" spans="1:6" ht="16.5" customHeight="1" x14ac:dyDescent="0.3">
      <c r="A25" s="484">
        <v>2</v>
      </c>
      <c r="B25" s="485">
        <v>38584771</v>
      </c>
      <c r="C25" s="485">
        <v>7274.74</v>
      </c>
      <c r="D25" s="486">
        <v>1.25</v>
      </c>
      <c r="E25" s="486">
        <v>11</v>
      </c>
      <c r="F25" s="486">
        <v>15.56</v>
      </c>
    </row>
    <row r="26" spans="1:6" ht="16.5" customHeight="1" x14ac:dyDescent="0.3">
      <c r="A26" s="484">
        <v>3</v>
      </c>
      <c r="B26" s="485">
        <v>38646408</v>
      </c>
      <c r="C26" s="485">
        <v>7245.7</v>
      </c>
      <c r="D26" s="486">
        <v>1.25</v>
      </c>
      <c r="E26" s="486">
        <v>11</v>
      </c>
      <c r="F26" s="486">
        <v>15.52</v>
      </c>
    </row>
    <row r="27" spans="1:6" ht="16.5" customHeight="1" x14ac:dyDescent="0.3">
      <c r="A27" s="484">
        <v>4</v>
      </c>
      <c r="B27" s="485">
        <v>38252046</v>
      </c>
      <c r="C27" s="485">
        <v>7237.06</v>
      </c>
      <c r="D27" s="486">
        <v>1.27</v>
      </c>
      <c r="E27" s="486">
        <v>11</v>
      </c>
      <c r="F27" s="486">
        <v>15.5</v>
      </c>
    </row>
    <row r="28" spans="1:6" ht="16.5" customHeight="1" x14ac:dyDescent="0.3">
      <c r="A28" s="484">
        <v>5</v>
      </c>
      <c r="B28" s="485">
        <v>38634669</v>
      </c>
      <c r="C28" s="485">
        <v>7281.63</v>
      </c>
      <c r="D28" s="486">
        <v>1.26</v>
      </c>
      <c r="E28" s="486">
        <v>11</v>
      </c>
      <c r="F28" s="486">
        <v>15.54</v>
      </c>
    </row>
    <row r="29" spans="1:6" ht="16.5" customHeight="1" x14ac:dyDescent="0.3">
      <c r="A29" s="484">
        <v>6</v>
      </c>
      <c r="B29" s="488">
        <v>38665561</v>
      </c>
      <c r="C29" s="488">
        <v>7252.89</v>
      </c>
      <c r="D29" s="489">
        <v>1.26</v>
      </c>
      <c r="E29" s="489">
        <v>10.99</v>
      </c>
      <c r="F29" s="489">
        <v>15.5</v>
      </c>
    </row>
    <row r="30" spans="1:6" ht="16.5" customHeight="1" x14ac:dyDescent="0.3">
      <c r="A30" s="490" t="s">
        <v>18</v>
      </c>
      <c r="B30" s="491">
        <f>AVERAGE(B24:B29)</f>
        <v>38565750.5</v>
      </c>
      <c r="C30" s="492">
        <f>AVERAGE(C24:C29)</f>
        <v>7262.5333333333328</v>
      </c>
      <c r="D30" s="493">
        <f>AVERAGE(D24:D29)</f>
        <v>1.2549999999999999</v>
      </c>
      <c r="E30" s="493">
        <f>AVERAGE(E24:E29)</f>
        <v>10.998333333333333</v>
      </c>
      <c r="F30" s="493">
        <f>AVERAGE(F24:F29)</f>
        <v>15.531666666666666</v>
      </c>
    </row>
    <row r="31" spans="1:6" ht="16.5" customHeight="1" x14ac:dyDescent="0.3">
      <c r="A31" s="494" t="s">
        <v>19</v>
      </c>
      <c r="B31" s="495">
        <f>(STDEV(B24:B29)/B30)</f>
        <v>4.0510472304473265E-3</v>
      </c>
      <c r="C31" s="496"/>
      <c r="D31" s="496"/>
      <c r="E31" s="497"/>
    </row>
    <row r="32" spans="1:6" s="471" customFormat="1" ht="16.5" customHeight="1" x14ac:dyDescent="0.3">
      <c r="A32" s="498" t="s">
        <v>20</v>
      </c>
      <c r="B32" s="499">
        <f>COUNT(B24:B29)</f>
        <v>6</v>
      </c>
      <c r="C32" s="500"/>
      <c r="D32" s="501"/>
      <c r="E32" s="502"/>
    </row>
    <row r="33" spans="1:6" s="471" customFormat="1" ht="15.75" customHeight="1" x14ac:dyDescent="0.25">
      <c r="A33" s="478"/>
      <c r="B33" s="478"/>
      <c r="C33" s="478"/>
      <c r="D33" s="478"/>
      <c r="E33" s="478"/>
    </row>
    <row r="34" spans="1:6" s="471" customFormat="1" ht="16.5" customHeight="1" x14ac:dyDescent="0.3">
      <c r="A34" s="479" t="s">
        <v>21</v>
      </c>
      <c r="B34" s="503" t="s">
        <v>22</v>
      </c>
      <c r="C34" s="504"/>
      <c r="D34" s="504"/>
      <c r="E34" s="504"/>
    </row>
    <row r="35" spans="1:6" ht="16.5" customHeight="1" x14ac:dyDescent="0.3">
      <c r="A35" s="479"/>
      <c r="B35" s="503" t="s">
        <v>23</v>
      </c>
      <c r="C35" s="504"/>
      <c r="D35" s="504"/>
      <c r="E35" s="504"/>
    </row>
    <row r="36" spans="1:6" ht="16.5" customHeight="1" x14ac:dyDescent="0.3">
      <c r="A36" s="479"/>
      <c r="B36" s="503" t="s">
        <v>24</v>
      </c>
      <c r="C36" s="504"/>
      <c r="D36" s="504"/>
      <c r="E36" s="504"/>
    </row>
    <row r="37" spans="1:6" ht="15.75" customHeight="1" x14ac:dyDescent="0.25">
      <c r="A37" s="478"/>
      <c r="B37" s="478" t="s">
        <v>132</v>
      </c>
      <c r="C37" s="478"/>
      <c r="D37" s="478"/>
      <c r="E37" s="478"/>
    </row>
    <row r="38" spans="1:6" ht="16.5" customHeight="1" x14ac:dyDescent="0.3">
      <c r="A38" s="474" t="s">
        <v>1</v>
      </c>
      <c r="B38" s="475" t="s">
        <v>25</v>
      </c>
    </row>
    <row r="39" spans="1:6" ht="16.5" customHeight="1" x14ac:dyDescent="0.3">
      <c r="A39" s="479" t="s">
        <v>4</v>
      </c>
      <c r="B39" s="480" t="s">
        <v>140</v>
      </c>
      <c r="C39" s="478"/>
      <c r="D39" s="478"/>
      <c r="E39" s="478"/>
    </row>
    <row r="40" spans="1:6" ht="16.5" customHeight="1" x14ac:dyDescent="0.3">
      <c r="A40" s="479" t="s">
        <v>6</v>
      </c>
      <c r="B40" s="480">
        <v>99.02</v>
      </c>
      <c r="C40" s="478"/>
      <c r="D40" s="478"/>
      <c r="E40" s="478"/>
    </row>
    <row r="41" spans="1:6" ht="16.5" customHeight="1" x14ac:dyDescent="0.3">
      <c r="A41" s="476" t="s">
        <v>8</v>
      </c>
      <c r="B41" s="480">
        <v>16.95</v>
      </c>
      <c r="C41" s="478"/>
      <c r="D41" s="478"/>
      <c r="E41" s="478"/>
    </row>
    <row r="42" spans="1:6" ht="16.5" customHeight="1" x14ac:dyDescent="0.3">
      <c r="A42" s="476" t="s">
        <v>10</v>
      </c>
      <c r="B42" s="481">
        <v>0.16949999999999998</v>
      </c>
      <c r="C42" s="478"/>
      <c r="D42" s="478"/>
      <c r="E42" s="478"/>
    </row>
    <row r="43" spans="1:6" ht="15.75" customHeight="1" x14ac:dyDescent="0.25">
      <c r="A43" s="478"/>
      <c r="B43" s="478"/>
      <c r="C43" s="478"/>
      <c r="D43" s="478"/>
      <c r="E43" s="478"/>
    </row>
    <row r="44" spans="1:6" ht="16.5" customHeight="1" x14ac:dyDescent="0.3">
      <c r="A44" s="482" t="s">
        <v>13</v>
      </c>
      <c r="B44" s="483" t="s">
        <v>14</v>
      </c>
      <c r="C44" s="482" t="s">
        <v>15</v>
      </c>
      <c r="D44" s="482" t="s">
        <v>16</v>
      </c>
      <c r="E44" s="482" t="s">
        <v>17</v>
      </c>
      <c r="F44" s="482" t="s">
        <v>131</v>
      </c>
    </row>
    <row r="45" spans="1:6" ht="16.5" customHeight="1" x14ac:dyDescent="0.3">
      <c r="A45" s="484">
        <v>1</v>
      </c>
      <c r="B45" s="485">
        <v>38611048</v>
      </c>
      <c r="C45" s="485">
        <v>7283.18</v>
      </c>
      <c r="D45" s="486">
        <v>1.24</v>
      </c>
      <c r="E45" s="487">
        <v>11</v>
      </c>
      <c r="F45" s="487">
        <v>15.57</v>
      </c>
    </row>
    <row r="46" spans="1:6" ht="16.5" customHeight="1" x14ac:dyDescent="0.3">
      <c r="A46" s="484">
        <v>2</v>
      </c>
      <c r="B46" s="485">
        <v>38584771</v>
      </c>
      <c r="C46" s="485">
        <v>7274.74</v>
      </c>
      <c r="D46" s="486">
        <v>1.25</v>
      </c>
      <c r="E46" s="486">
        <v>11</v>
      </c>
      <c r="F46" s="486">
        <v>15.56</v>
      </c>
    </row>
    <row r="47" spans="1:6" ht="16.5" customHeight="1" x14ac:dyDescent="0.3">
      <c r="A47" s="484">
        <v>3</v>
      </c>
      <c r="B47" s="485">
        <v>38646408</v>
      </c>
      <c r="C47" s="485">
        <v>7245.7</v>
      </c>
      <c r="D47" s="486">
        <v>1.25</v>
      </c>
      <c r="E47" s="486">
        <v>11</v>
      </c>
      <c r="F47" s="486">
        <v>15.52</v>
      </c>
    </row>
    <row r="48" spans="1:6" ht="16.5" customHeight="1" x14ac:dyDescent="0.3">
      <c r="A48" s="484">
        <v>4</v>
      </c>
      <c r="B48" s="485">
        <v>38252046</v>
      </c>
      <c r="C48" s="485">
        <v>7237.06</v>
      </c>
      <c r="D48" s="486">
        <v>1.27</v>
      </c>
      <c r="E48" s="486">
        <v>11</v>
      </c>
      <c r="F48" s="486">
        <v>15.5</v>
      </c>
    </row>
    <row r="49" spans="1:7" ht="16.5" customHeight="1" x14ac:dyDescent="0.3">
      <c r="A49" s="484">
        <v>5</v>
      </c>
      <c r="B49" s="485">
        <v>38634669</v>
      </c>
      <c r="C49" s="485">
        <v>7281.63</v>
      </c>
      <c r="D49" s="486">
        <v>1.26</v>
      </c>
      <c r="E49" s="486">
        <v>11</v>
      </c>
      <c r="F49" s="486">
        <v>15.54</v>
      </c>
    </row>
    <row r="50" spans="1:7" ht="16.5" customHeight="1" x14ac:dyDescent="0.3">
      <c r="A50" s="484">
        <v>6</v>
      </c>
      <c r="B50" s="488">
        <v>38665561</v>
      </c>
      <c r="C50" s="488">
        <v>7252.89</v>
      </c>
      <c r="D50" s="489">
        <v>1.26</v>
      </c>
      <c r="E50" s="489">
        <v>10.99</v>
      </c>
      <c r="F50" s="489">
        <v>15.5</v>
      </c>
    </row>
    <row r="51" spans="1:7" ht="16.5" customHeight="1" x14ac:dyDescent="0.3">
      <c r="A51" s="490" t="s">
        <v>18</v>
      </c>
      <c r="B51" s="491">
        <f>AVERAGE(B45:B50)</f>
        <v>38565750.5</v>
      </c>
      <c r="C51" s="492">
        <f>AVERAGE(C45:C50)</f>
        <v>7262.5333333333328</v>
      </c>
      <c r="D51" s="493">
        <f>AVERAGE(D45:D50)</f>
        <v>1.2549999999999999</v>
      </c>
      <c r="E51" s="493">
        <f>AVERAGE(E45:E50)</f>
        <v>10.998333333333333</v>
      </c>
      <c r="F51" s="493">
        <f>AVERAGE(F45:F50)</f>
        <v>15.531666666666666</v>
      </c>
    </row>
    <row r="52" spans="1:7" ht="16.5" customHeight="1" x14ac:dyDescent="0.3">
      <c r="A52" s="494" t="s">
        <v>19</v>
      </c>
      <c r="B52" s="495">
        <f>(STDEV(B45:B50)/B51)</f>
        <v>4.0510472304473265E-3</v>
      </c>
      <c r="C52" s="496"/>
      <c r="D52" s="496"/>
      <c r="E52" s="497"/>
    </row>
    <row r="53" spans="1:7" s="471" customFormat="1" ht="16.5" customHeight="1" x14ac:dyDescent="0.3">
      <c r="A53" s="498" t="s">
        <v>20</v>
      </c>
      <c r="B53" s="499">
        <f>COUNT(B45:B50)</f>
        <v>6</v>
      </c>
      <c r="C53" s="500"/>
      <c r="D53" s="501"/>
      <c r="E53" s="502"/>
    </row>
    <row r="54" spans="1:7" s="471" customFormat="1" ht="15.75" customHeight="1" x14ac:dyDescent="0.25">
      <c r="A54" s="478"/>
      <c r="B54" s="478"/>
      <c r="C54" s="478"/>
      <c r="D54" s="478"/>
      <c r="E54" s="478"/>
    </row>
    <row r="55" spans="1:7" s="471" customFormat="1" ht="16.5" customHeight="1" x14ac:dyDescent="0.3">
      <c r="A55" s="479" t="s">
        <v>21</v>
      </c>
      <c r="B55" s="503" t="s">
        <v>22</v>
      </c>
      <c r="C55" s="504"/>
      <c r="D55" s="504"/>
      <c r="E55" s="504"/>
    </row>
    <row r="56" spans="1:7" ht="16.5" customHeight="1" x14ac:dyDescent="0.3">
      <c r="A56" s="479"/>
      <c r="B56" s="503" t="s">
        <v>23</v>
      </c>
      <c r="C56" s="504"/>
      <c r="D56" s="504"/>
      <c r="E56" s="504"/>
    </row>
    <row r="57" spans="1:7" ht="16.5" customHeight="1" x14ac:dyDescent="0.3">
      <c r="A57" s="479"/>
      <c r="B57" s="503" t="s">
        <v>24</v>
      </c>
      <c r="C57" s="504"/>
      <c r="D57" s="504"/>
      <c r="E57" s="504"/>
    </row>
    <row r="58" spans="1:7" ht="14.25" customHeight="1" thickBot="1" x14ac:dyDescent="0.3">
      <c r="A58" s="505"/>
      <c r="B58" s="478" t="s">
        <v>132</v>
      </c>
      <c r="D58" s="506"/>
      <c r="F58" s="473"/>
      <c r="G58" s="473"/>
    </row>
    <row r="59" spans="1:7" ht="15" customHeight="1" x14ac:dyDescent="0.3">
      <c r="B59" s="516" t="s">
        <v>26</v>
      </c>
      <c r="C59" s="51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/>
      <c r="C60" s="510"/>
      <c r="E60" s="510"/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0" t="s">
        <v>31</v>
      </c>
      <c r="B11" s="521"/>
      <c r="C11" s="521"/>
      <c r="D11" s="521"/>
      <c r="E11" s="521"/>
      <c r="F11" s="522"/>
      <c r="G11" s="43"/>
    </row>
    <row r="12" spans="1:7" ht="16.5" customHeight="1" x14ac:dyDescent="0.3">
      <c r="A12" s="519" t="s">
        <v>32</v>
      </c>
      <c r="B12" s="519"/>
      <c r="C12" s="519"/>
      <c r="D12" s="519"/>
      <c r="E12" s="519"/>
      <c r="F12" s="519"/>
      <c r="G12" s="42"/>
    </row>
    <row r="14" spans="1:7" ht="16.5" customHeight="1" x14ac:dyDescent="0.3">
      <c r="A14" s="524" t="s">
        <v>33</v>
      </c>
      <c r="B14" s="524"/>
      <c r="C14" s="12" t="s">
        <v>5</v>
      </c>
    </row>
    <row r="15" spans="1:7" ht="16.5" customHeight="1" x14ac:dyDescent="0.3">
      <c r="A15" s="524" t="s">
        <v>34</v>
      </c>
      <c r="B15" s="524"/>
      <c r="C15" s="12" t="s">
        <v>7</v>
      </c>
    </row>
    <row r="16" spans="1:7" ht="16.5" customHeight="1" x14ac:dyDescent="0.3">
      <c r="A16" s="524" t="s">
        <v>35</v>
      </c>
      <c r="B16" s="524"/>
      <c r="C16" s="12" t="s">
        <v>9</v>
      </c>
    </row>
    <row r="17" spans="1:5" ht="16.5" customHeight="1" x14ac:dyDescent="0.3">
      <c r="A17" s="524" t="s">
        <v>36</v>
      </c>
      <c r="B17" s="524"/>
      <c r="C17" s="12" t="s">
        <v>11</v>
      </c>
    </row>
    <row r="18" spans="1:5" ht="16.5" customHeight="1" x14ac:dyDescent="0.3">
      <c r="A18" s="524" t="s">
        <v>37</v>
      </c>
      <c r="B18" s="524"/>
      <c r="C18" s="49" t="s">
        <v>12</v>
      </c>
    </row>
    <row r="19" spans="1:5" ht="16.5" customHeight="1" x14ac:dyDescent="0.3">
      <c r="A19" s="524" t="s">
        <v>38</v>
      </c>
      <c r="B19" s="52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9" t="s">
        <v>1</v>
      </c>
      <c r="B21" s="519"/>
      <c r="C21" s="11" t="s">
        <v>39</v>
      </c>
      <c r="D21" s="18"/>
    </row>
    <row r="22" spans="1:5" ht="15.75" customHeight="1" x14ac:dyDescent="0.3">
      <c r="A22" s="523"/>
      <c r="B22" s="523"/>
      <c r="C22" s="9"/>
      <c r="D22" s="523"/>
      <c r="E22" s="52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1062.32</v>
      </c>
      <c r="D24" s="39">
        <f t="shared" ref="D24:D43" si="0">(C24-$C$46)/$C$46</f>
        <v>-1.4179658500371171E-2</v>
      </c>
      <c r="E24" s="5"/>
    </row>
    <row r="25" spans="1:5" ht="15.75" customHeight="1" x14ac:dyDescent="0.3">
      <c r="C25" s="47">
        <v>1067.8599999999999</v>
      </c>
      <c r="D25" s="40">
        <f t="shared" si="0"/>
        <v>-9.0386043058648946E-3</v>
      </c>
      <c r="E25" s="5"/>
    </row>
    <row r="26" spans="1:5" ht="15.75" customHeight="1" x14ac:dyDescent="0.3">
      <c r="C26" s="47">
        <v>1064.6300000000001</v>
      </c>
      <c r="D26" s="40">
        <f t="shared" si="0"/>
        <v>-1.2036005939123795E-2</v>
      </c>
      <c r="E26" s="5"/>
    </row>
    <row r="27" spans="1:5" ht="15.75" customHeight="1" x14ac:dyDescent="0.3">
      <c r="C27" s="47">
        <v>1063.93</v>
      </c>
      <c r="D27" s="40">
        <f t="shared" si="0"/>
        <v>-1.2685597624350266E-2</v>
      </c>
      <c r="E27" s="5"/>
    </row>
    <row r="28" spans="1:5" ht="15.75" customHeight="1" x14ac:dyDescent="0.3">
      <c r="C28" s="47">
        <v>1079.24</v>
      </c>
      <c r="D28" s="40">
        <f t="shared" si="0"/>
        <v>1.5219005196734411E-3</v>
      </c>
      <c r="E28" s="5"/>
    </row>
    <row r="29" spans="1:5" ht="15.75" customHeight="1" x14ac:dyDescent="0.3">
      <c r="C29" s="47">
        <v>1077.5899999999999</v>
      </c>
      <c r="D29" s="40">
        <f t="shared" si="0"/>
        <v>-9.2798812175119762E-6</v>
      </c>
      <c r="E29" s="5"/>
    </row>
    <row r="30" spans="1:5" ht="15.75" customHeight="1" x14ac:dyDescent="0.3">
      <c r="C30" s="47">
        <v>1066.52</v>
      </c>
      <c r="D30" s="40">
        <f t="shared" si="0"/>
        <v>-1.0282108389012555E-2</v>
      </c>
      <c r="E30" s="5"/>
    </row>
    <row r="31" spans="1:5" ht="15.75" customHeight="1" x14ac:dyDescent="0.3">
      <c r="C31" s="47">
        <v>1074.6400000000001</v>
      </c>
      <c r="D31" s="40">
        <f t="shared" si="0"/>
        <v>-2.746844840385866E-3</v>
      </c>
      <c r="E31" s="5"/>
    </row>
    <row r="32" spans="1:5" ht="15.75" customHeight="1" x14ac:dyDescent="0.3">
      <c r="C32" s="47">
        <v>1060.3599999999999</v>
      </c>
      <c r="D32" s="40">
        <f t="shared" si="0"/>
        <v>-1.5998515219005208E-2</v>
      </c>
      <c r="E32" s="5"/>
    </row>
    <row r="33" spans="1:7" ht="15.75" customHeight="1" x14ac:dyDescent="0.3">
      <c r="C33" s="47">
        <v>1091.08</v>
      </c>
      <c r="D33" s="40">
        <f t="shared" si="0"/>
        <v>1.2509279881217538E-2</v>
      </c>
      <c r="E33" s="5"/>
    </row>
    <row r="34" spans="1:7" ht="15.75" customHeight="1" x14ac:dyDescent="0.3">
      <c r="C34" s="47">
        <v>1097.2</v>
      </c>
      <c r="D34" s="40">
        <f t="shared" si="0"/>
        <v>1.8188567186340144E-2</v>
      </c>
      <c r="E34" s="5"/>
    </row>
    <row r="35" spans="1:7" ht="15.75" customHeight="1" x14ac:dyDescent="0.3">
      <c r="C35" s="47">
        <v>1078.43</v>
      </c>
      <c r="D35" s="40">
        <f t="shared" si="0"/>
        <v>7.7023014105433803E-4</v>
      </c>
      <c r="E35" s="5"/>
    </row>
    <row r="36" spans="1:7" ht="15.75" customHeight="1" x14ac:dyDescent="0.3">
      <c r="C36" s="47">
        <v>1103.45</v>
      </c>
      <c r="D36" s="40">
        <f t="shared" si="0"/>
        <v>2.3988492947290403E-2</v>
      </c>
      <c r="E36" s="5"/>
    </row>
    <row r="37" spans="1:7" ht="15.75" customHeight="1" x14ac:dyDescent="0.3">
      <c r="C37" s="47">
        <v>1093.57</v>
      </c>
      <c r="D37" s="40">
        <f t="shared" si="0"/>
        <v>1.481997030438013E-2</v>
      </c>
      <c r="E37" s="5"/>
    </row>
    <row r="38" spans="1:7" ht="15.75" customHeight="1" x14ac:dyDescent="0.3">
      <c r="C38" s="47">
        <v>1063.6500000000001</v>
      </c>
      <c r="D38" s="40">
        <f t="shared" si="0"/>
        <v>-1.2945434298440812E-2</v>
      </c>
      <c r="E38" s="5"/>
    </row>
    <row r="39" spans="1:7" ht="15.75" customHeight="1" x14ac:dyDescent="0.3">
      <c r="C39" s="47">
        <v>1079.8</v>
      </c>
      <c r="D39" s="40">
        <f t="shared" si="0"/>
        <v>2.041573867854534E-3</v>
      </c>
      <c r="E39" s="5"/>
    </row>
    <row r="40" spans="1:7" ht="15.75" customHeight="1" x14ac:dyDescent="0.3">
      <c r="C40" s="47">
        <v>1100.32</v>
      </c>
      <c r="D40" s="40">
        <f t="shared" si="0"/>
        <v>2.1083890126206411E-2</v>
      </c>
      <c r="E40" s="5"/>
    </row>
    <row r="41" spans="1:7" ht="15.75" customHeight="1" x14ac:dyDescent="0.3">
      <c r="C41" s="47">
        <v>1094.4000000000001</v>
      </c>
      <c r="D41" s="40">
        <f t="shared" si="0"/>
        <v>1.5590200445434469E-2</v>
      </c>
      <c r="E41" s="5"/>
    </row>
    <row r="42" spans="1:7" ht="15.75" customHeight="1" x14ac:dyDescent="0.3">
      <c r="C42" s="47">
        <v>1066.21</v>
      </c>
      <c r="D42" s="40">
        <f t="shared" si="0"/>
        <v>-1.0569784706755637E-2</v>
      </c>
      <c r="E42" s="5"/>
    </row>
    <row r="43" spans="1:7" ht="16.5" customHeight="1" x14ac:dyDescent="0.3">
      <c r="C43" s="48">
        <v>1066.8</v>
      </c>
      <c r="D43" s="41">
        <f t="shared" si="0"/>
        <v>-1.0022271714922008E-2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21552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1077.5999999999999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7">
        <f>C46</f>
        <v>1077.5999999999999</v>
      </c>
      <c r="C49" s="45">
        <f>-IF(C46&lt;=80,10%,IF(C46&lt;250,7.5%,5%))</f>
        <v>-0.05</v>
      </c>
      <c r="D49" s="33">
        <f>IF(C46&lt;=80,C46*0.9,IF(C46&lt;250,C46*0.925,C46*0.95))</f>
        <v>1023.7199999999999</v>
      </c>
    </row>
    <row r="50" spans="1:6" ht="17.25" customHeight="1" x14ac:dyDescent="0.3">
      <c r="B50" s="518"/>
      <c r="C50" s="46">
        <f>IF(C46&lt;=80, 10%, IF(C46&lt;250, 7.5%, 5%))</f>
        <v>0.05</v>
      </c>
      <c r="D50" s="33">
        <f>IF(C46&lt;=80, C46*1.1, IF(C46&lt;250, C46*1.075, C46*1.05))</f>
        <v>1131.48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0" workbookViewId="0">
      <selection activeCell="E103" sqref="E10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x14ac:dyDescent="0.3">
      <c r="A15" s="50"/>
    </row>
    <row r="16" spans="1:9" ht="19.5" customHeight="1" x14ac:dyDescent="0.3">
      <c r="A16" s="558" t="s">
        <v>31</v>
      </c>
      <c r="B16" s="559"/>
      <c r="C16" s="559"/>
      <c r="D16" s="559"/>
      <c r="E16" s="559"/>
      <c r="F16" s="559"/>
      <c r="G16" s="559"/>
      <c r="H16" s="560"/>
    </row>
    <row r="17" spans="1:14" ht="20.25" customHeight="1" x14ac:dyDescent="0.25">
      <c r="A17" s="561" t="s">
        <v>47</v>
      </c>
      <c r="B17" s="561"/>
      <c r="C17" s="561"/>
      <c r="D17" s="561"/>
      <c r="E17" s="561"/>
      <c r="F17" s="561"/>
      <c r="G17" s="561"/>
      <c r="H17" s="561"/>
    </row>
    <row r="18" spans="1:14" ht="26.25" customHeight="1" x14ac:dyDescent="0.4">
      <c r="A18" s="52" t="s">
        <v>33</v>
      </c>
      <c r="B18" s="557" t="s">
        <v>5</v>
      </c>
      <c r="C18" s="55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62" t="s">
        <v>133</v>
      </c>
      <c r="C20" s="56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62" t="s">
        <v>11</v>
      </c>
      <c r="C21" s="562"/>
      <c r="D21" s="562"/>
      <c r="E21" s="562"/>
      <c r="F21" s="562"/>
      <c r="G21" s="562"/>
      <c r="H21" s="562"/>
      <c r="I21" s="56"/>
    </row>
    <row r="22" spans="1:14" ht="26.25" customHeight="1" x14ac:dyDescent="0.4">
      <c r="A22" s="52" t="s">
        <v>37</v>
      </c>
      <c r="B22" s="57">
        <v>43130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43132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7" t="s">
        <v>134</v>
      </c>
      <c r="C26" s="557"/>
    </row>
    <row r="27" spans="1:14" ht="26.25" customHeight="1" x14ac:dyDescent="0.4">
      <c r="A27" s="61" t="s">
        <v>48</v>
      </c>
      <c r="B27" s="563" t="s">
        <v>135</v>
      </c>
      <c r="C27" s="563"/>
    </row>
    <row r="28" spans="1:14" ht="27" customHeight="1" x14ac:dyDescent="0.4">
      <c r="A28" s="61" t="s">
        <v>6</v>
      </c>
      <c r="B28" s="62">
        <v>99.02</v>
      </c>
    </row>
    <row r="29" spans="1:14" s="3" customFormat="1" ht="27" customHeight="1" x14ac:dyDescent="0.4">
      <c r="A29" s="61" t="s">
        <v>49</v>
      </c>
      <c r="B29" s="63">
        <v>0</v>
      </c>
      <c r="C29" s="533" t="s">
        <v>50</v>
      </c>
      <c r="D29" s="534"/>
      <c r="E29" s="534"/>
      <c r="F29" s="534"/>
      <c r="G29" s="53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6" t="s">
        <v>53</v>
      </c>
      <c r="D31" s="537"/>
      <c r="E31" s="537"/>
      <c r="F31" s="537"/>
      <c r="G31" s="537"/>
      <c r="H31" s="53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6" t="s">
        <v>55</v>
      </c>
      <c r="D32" s="537"/>
      <c r="E32" s="537"/>
      <c r="F32" s="537"/>
      <c r="G32" s="537"/>
      <c r="H32" s="5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9" t="s">
        <v>59</v>
      </c>
      <c r="E36" s="564"/>
      <c r="F36" s="539" t="s">
        <v>60</v>
      </c>
      <c r="G36" s="54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38302842</v>
      </c>
      <c r="E38" s="85">
        <f>IF(ISBLANK(D38),"-",$D$48/$D$45*D38)</f>
        <v>36513911.375729941</v>
      </c>
      <c r="F38" s="84">
        <v>38534891</v>
      </c>
      <c r="G38" s="86">
        <f>IF(ISBLANK(F38),"-",$D$48/$F$45*F38)</f>
        <v>38059922.200893946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38024567</v>
      </c>
      <c r="E39" s="90">
        <f>IF(ISBLANK(D39),"-",$D$48/$D$45*D39)</f>
        <v>36248633.183368102</v>
      </c>
      <c r="F39" s="89">
        <v>37533009</v>
      </c>
      <c r="G39" s="91">
        <f>IF(ISBLANK(F39),"-",$D$48/$F$45*F39)</f>
        <v>37070389.0794826</v>
      </c>
      <c r="I39" s="541">
        <f>ABS((F43/D43*D42)-F42)/D42</f>
        <v>1.806189278781194E-2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39477710</v>
      </c>
      <c r="E40" s="90">
        <f>IF(ISBLANK(D40),"-",$D$48/$D$45*D40)</f>
        <v>37633907.276561037</v>
      </c>
      <c r="F40" s="89">
        <v>37797904</v>
      </c>
      <c r="G40" s="91">
        <f>IF(ISBLANK(F40),"-",$D$48/$F$45*F40)</f>
        <v>37332019.068040393</v>
      </c>
      <c r="I40" s="54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38601706.333333336</v>
      </c>
      <c r="E42" s="100">
        <f>AVERAGE(E38:E41)</f>
        <v>36798817.278553024</v>
      </c>
      <c r="F42" s="99">
        <f>AVERAGE(F38:F41)</f>
        <v>37955268</v>
      </c>
      <c r="G42" s="101">
        <f>AVERAGE(G38:G41)</f>
        <v>37487443.449472316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16.95</v>
      </c>
      <c r="E43" s="92"/>
      <c r="F43" s="104">
        <v>16.36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16.95</v>
      </c>
      <c r="E44" s="107"/>
      <c r="F44" s="106">
        <f>F43*$B$34</f>
        <v>16.36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16.78389</v>
      </c>
      <c r="E45" s="110"/>
      <c r="F45" s="109">
        <f>F44*$B$30/100</f>
        <v>16.199672</v>
      </c>
      <c r="H45" s="102"/>
    </row>
    <row r="46" spans="1:14" ht="19.5" customHeight="1" x14ac:dyDescent="0.3">
      <c r="A46" s="527" t="s">
        <v>78</v>
      </c>
      <c r="B46" s="528"/>
      <c r="C46" s="105" t="s">
        <v>79</v>
      </c>
      <c r="D46" s="111">
        <f>D45/$B$45</f>
        <v>0.16783889999999999</v>
      </c>
      <c r="E46" s="112"/>
      <c r="F46" s="113">
        <f>F45/$B$45</f>
        <v>0.16199671999999998</v>
      </c>
      <c r="H46" s="102"/>
    </row>
    <row r="47" spans="1:14" ht="27" customHeight="1" x14ac:dyDescent="0.4">
      <c r="A47" s="529"/>
      <c r="B47" s="530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37143130.364012673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1.8332805088000472E-2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Sulfamethoxazole BP 800 mg and Trimethoprim BP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>Sulfamethoxazole</v>
      </c>
      <c r="H56" s="131"/>
    </row>
    <row r="57" spans="1:12" ht="18.75" x14ac:dyDescent="0.3">
      <c r="A57" s="128" t="s">
        <v>88</v>
      </c>
      <c r="B57" s="199">
        <f>Uniformity!C46</f>
        <v>1077.5999999999999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544" t="s">
        <v>94</v>
      </c>
      <c r="D60" s="547">
        <v>1078.93</v>
      </c>
      <c r="E60" s="134">
        <v>1</v>
      </c>
      <c r="F60" s="135">
        <v>37156618</v>
      </c>
      <c r="G60" s="200">
        <f>IF(ISBLANK(F60),"-",(F60/$D$50*$D$47*$B$68)*($B$57/$D$60))</f>
        <v>799.30398047464621</v>
      </c>
      <c r="H60" s="218">
        <f t="shared" ref="H60:H71" si="0">IF(ISBLANK(F60),"-",(G60/$B$56)*100)</f>
        <v>99.912997559330776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545"/>
      <c r="D61" s="548"/>
      <c r="E61" s="136">
        <v>2</v>
      </c>
      <c r="F61" s="89">
        <v>37236446</v>
      </c>
      <c r="G61" s="201">
        <f>IF(ISBLANK(F61),"-",(F61/$D$50*$D$47*$B$68)*($B$57/$D$60))</f>
        <v>801.02122067539142</v>
      </c>
      <c r="H61" s="219">
        <f t="shared" si="0"/>
        <v>100.12765258442393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5"/>
      <c r="D62" s="548"/>
      <c r="E62" s="136">
        <v>3</v>
      </c>
      <c r="F62" s="137">
        <v>37516746</v>
      </c>
      <c r="G62" s="201">
        <f>IF(ISBLANK(F62),"-",(F62/$D$50*$D$47*$B$68)*($B$57/$D$60))</f>
        <v>807.0509649790049</v>
      </c>
      <c r="H62" s="219">
        <f t="shared" si="0"/>
        <v>100.88137062237561</v>
      </c>
      <c r="L62" s="64"/>
    </row>
    <row r="63" spans="1:12" ht="27" customHeight="1" x14ac:dyDescent="0.4">
      <c r="A63" s="76" t="s">
        <v>97</v>
      </c>
      <c r="B63" s="77">
        <v>1</v>
      </c>
      <c r="C63" s="554"/>
      <c r="D63" s="54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4" t="s">
        <v>99</v>
      </c>
      <c r="D64" s="547">
        <v>1072.17</v>
      </c>
      <c r="E64" s="134">
        <v>1</v>
      </c>
      <c r="F64" s="135">
        <v>37000367</v>
      </c>
      <c r="G64" s="200">
        <f>IF(ISBLANK(F64),"-",(F64/$D$50*$D$47*$B$68)*($B$57/$D$64))</f>
        <v>800.96114297056488</v>
      </c>
      <c r="H64" s="218">
        <f t="shared" si="0"/>
        <v>100.12014287132061</v>
      </c>
    </row>
    <row r="65" spans="1:8" ht="26.25" customHeight="1" x14ac:dyDescent="0.4">
      <c r="A65" s="76" t="s">
        <v>100</v>
      </c>
      <c r="B65" s="77">
        <v>1</v>
      </c>
      <c r="C65" s="545"/>
      <c r="D65" s="548"/>
      <c r="E65" s="136">
        <v>2</v>
      </c>
      <c r="F65" s="89">
        <v>36442699</v>
      </c>
      <c r="G65" s="201">
        <f>IF(ISBLANK(F65),"-",(F65/$D$50*$D$47*$B$68)*($B$57/$D$64))</f>
        <v>788.8890897750357</v>
      </c>
      <c r="H65" s="219">
        <f t="shared" si="0"/>
        <v>98.611136221879462</v>
      </c>
    </row>
    <row r="66" spans="1:8" ht="26.25" customHeight="1" x14ac:dyDescent="0.4">
      <c r="A66" s="76" t="s">
        <v>101</v>
      </c>
      <c r="B66" s="77">
        <v>1</v>
      </c>
      <c r="C66" s="545"/>
      <c r="D66" s="548"/>
      <c r="E66" s="136">
        <v>3</v>
      </c>
      <c r="F66" s="89">
        <v>36856737</v>
      </c>
      <c r="G66" s="201">
        <f>IF(ISBLANK(F66),"-",(F66/$D$50*$D$47*$B$68)*($B$57/$D$64))</f>
        <v>797.85192924398586</v>
      </c>
      <c r="H66" s="219">
        <f t="shared" si="0"/>
        <v>99.731491155498233</v>
      </c>
    </row>
    <row r="67" spans="1:8" ht="27" customHeight="1" x14ac:dyDescent="0.4">
      <c r="A67" s="76" t="s">
        <v>102</v>
      </c>
      <c r="B67" s="77">
        <v>1</v>
      </c>
      <c r="C67" s="554"/>
      <c r="D67" s="54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5000</v>
      </c>
      <c r="C68" s="544" t="s">
        <v>104</v>
      </c>
      <c r="D68" s="547">
        <v>1081.2</v>
      </c>
      <c r="E68" s="134">
        <v>1</v>
      </c>
      <c r="F68" s="135">
        <v>38231763</v>
      </c>
      <c r="G68" s="200">
        <f>IF(ISBLANK(F68),"-",(F68/$D$50*$D$47*$B$68)*($B$57/$D$68))</f>
        <v>820.70552177009233</v>
      </c>
      <c r="H68" s="219">
        <f t="shared" si="0"/>
        <v>102.58819022126153</v>
      </c>
    </row>
    <row r="69" spans="1:8" ht="27" customHeight="1" x14ac:dyDescent="0.4">
      <c r="A69" s="124" t="s">
        <v>105</v>
      </c>
      <c r="B69" s="141">
        <f>(D47*B68)/B56*B57</f>
        <v>1077.5999999999999</v>
      </c>
      <c r="C69" s="545"/>
      <c r="D69" s="548"/>
      <c r="E69" s="136">
        <v>2</v>
      </c>
      <c r="F69" s="89">
        <v>37256929</v>
      </c>
      <c r="G69" s="201">
        <f>IF(ISBLANK(F69),"-",(F69/$D$50*$D$47*$B$68)*($B$57/$D$68))</f>
        <v>799.77916149188013</v>
      </c>
      <c r="H69" s="219">
        <f t="shared" si="0"/>
        <v>99.972395186485016</v>
      </c>
    </row>
    <row r="70" spans="1:8" ht="26.25" customHeight="1" x14ac:dyDescent="0.4">
      <c r="A70" s="550" t="s">
        <v>78</v>
      </c>
      <c r="B70" s="551"/>
      <c r="C70" s="545"/>
      <c r="D70" s="548"/>
      <c r="E70" s="136">
        <v>3</v>
      </c>
      <c r="F70" s="89">
        <v>37611866</v>
      </c>
      <c r="G70" s="201">
        <f>IF(ISBLANK(F70),"-",(F70/$D$50*$D$47*$B$68)*($B$57/$D$68))</f>
        <v>807.39844799406194</v>
      </c>
      <c r="H70" s="219">
        <f t="shared" si="0"/>
        <v>100.92480599925776</v>
      </c>
    </row>
    <row r="71" spans="1:8" ht="27" customHeight="1" x14ac:dyDescent="0.4">
      <c r="A71" s="552"/>
      <c r="B71" s="553"/>
      <c r="C71" s="546"/>
      <c r="D71" s="54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802.5512732638515</v>
      </c>
      <c r="H72" s="221">
        <f>AVERAGE(H60:H71)</f>
        <v>100.31890915798144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1.0837181281910158E-2</v>
      </c>
      <c r="H73" s="205">
        <f>STDEV(H60:H71)/H72</f>
        <v>1.0837181281910132E-2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1" t="str">
        <f>B26</f>
        <v>SULFAMETHOXAZOLE</v>
      </c>
      <c r="D76" s="531"/>
      <c r="E76" s="150" t="s">
        <v>108</v>
      </c>
      <c r="F76" s="150"/>
      <c r="G76" s="237">
        <f>H72</f>
        <v>100.31890915798144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5" t="str">
        <f>B26</f>
        <v>SULFAMETHOXAZOLE</v>
      </c>
      <c r="C79" s="565"/>
    </row>
    <row r="80" spans="1:8" ht="26.25" customHeight="1" x14ac:dyDescent="0.4">
      <c r="A80" s="61" t="s">
        <v>48</v>
      </c>
      <c r="B80" s="565" t="str">
        <f>B27</f>
        <v>S12-6</v>
      </c>
      <c r="C80" s="565"/>
    </row>
    <row r="81" spans="1:12" ht="27" customHeight="1" x14ac:dyDescent="0.4">
      <c r="A81" s="61" t="s">
        <v>6</v>
      </c>
      <c r="B81" s="153">
        <f>B28</f>
        <v>99.02</v>
      </c>
    </row>
    <row r="82" spans="1:12" s="3" customFormat="1" ht="27" customHeight="1" x14ac:dyDescent="0.4">
      <c r="A82" s="61" t="s">
        <v>49</v>
      </c>
      <c r="B82" s="63">
        <v>0</v>
      </c>
      <c r="C82" s="533" t="s">
        <v>50</v>
      </c>
      <c r="D82" s="534"/>
      <c r="E82" s="534"/>
      <c r="F82" s="534"/>
      <c r="G82" s="53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6" t="s">
        <v>111</v>
      </c>
      <c r="D84" s="537"/>
      <c r="E84" s="537"/>
      <c r="F84" s="537"/>
      <c r="G84" s="537"/>
      <c r="H84" s="53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6" t="s">
        <v>112</v>
      </c>
      <c r="D85" s="537"/>
      <c r="E85" s="537"/>
      <c r="F85" s="537"/>
      <c r="G85" s="537"/>
      <c r="H85" s="5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39" t="s">
        <v>60</v>
      </c>
      <c r="G89" s="540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38302842</v>
      </c>
      <c r="E91" s="85">
        <f>IF(ISBLANK(D91),"-",$D$101/$D$98*D91)</f>
        <v>40571012.639699936</v>
      </c>
      <c r="F91" s="272">
        <v>38534891</v>
      </c>
      <c r="G91" s="86">
        <f>IF(ISBLANK(F91),"-",$D$101/$F$98*F91)</f>
        <v>42288802.445437722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38024567</v>
      </c>
      <c r="E92" s="90">
        <f>IF(ISBLANK(D92),"-",$D$101/$D$98*D92)</f>
        <v>40276259.092631221</v>
      </c>
      <c r="F92" s="277">
        <v>37533009</v>
      </c>
      <c r="G92" s="91">
        <f>IF(ISBLANK(F92),"-",$D$101/$F$98*F92)</f>
        <v>41189321.199425116</v>
      </c>
      <c r="I92" s="541">
        <f>ABS((F96/D96*D95)-F95)/D95</f>
        <v>1.806189278781194E-2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39477710</v>
      </c>
      <c r="E93" s="90">
        <f>IF(ISBLANK(D93),"-",$D$101/$D$98*D93)</f>
        <v>41815452.529512264</v>
      </c>
      <c r="F93" s="277">
        <v>37797904</v>
      </c>
      <c r="G93" s="91">
        <f>IF(ISBLANK(F93),"-",$D$101/$F$98*F93)</f>
        <v>41480021.18671155</v>
      </c>
      <c r="I93" s="54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38601706.333333336</v>
      </c>
      <c r="E95" s="100">
        <f>AVERAGE(E91:E94)</f>
        <v>40887574.753947802</v>
      </c>
      <c r="F95" s="163">
        <f>AVERAGE(F91:F94)</f>
        <v>37955268</v>
      </c>
      <c r="G95" s="164">
        <f>AVERAGE(G91:G94)</f>
        <v>41652714.943858124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16.95</v>
      </c>
      <c r="E96" s="92"/>
      <c r="F96" s="104">
        <v>16.36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16.95</v>
      </c>
      <c r="E97" s="107"/>
      <c r="F97" s="106">
        <f>F96*$B$87</f>
        <v>16.36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16.78389</v>
      </c>
      <c r="E98" s="110"/>
      <c r="F98" s="109">
        <f>F97*$B$83/100</f>
        <v>16.199672</v>
      </c>
    </row>
    <row r="99" spans="1:10" ht="19.5" customHeight="1" x14ac:dyDescent="0.3">
      <c r="A99" s="527" t="s">
        <v>78</v>
      </c>
      <c r="B99" s="542"/>
      <c r="C99" s="167" t="s">
        <v>116</v>
      </c>
      <c r="D99" s="171">
        <f>D98/$B$98</f>
        <v>0.16783889999999999</v>
      </c>
      <c r="E99" s="110"/>
      <c r="F99" s="113">
        <f>F98/$B$98</f>
        <v>0.16199671999999998</v>
      </c>
      <c r="G99" s="172"/>
      <c r="H99" s="102"/>
    </row>
    <row r="100" spans="1:10" ht="19.5" customHeight="1" x14ac:dyDescent="0.3">
      <c r="A100" s="529"/>
      <c r="B100" s="543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41270144.848902971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1.8332805088000517E-2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39595063</v>
      </c>
      <c r="E108" s="202">
        <f t="shared" ref="E108:E113" si="1">IF(ISBLANK(D108),"-",D108/$D$103*$D$100*$B$116)</f>
        <v>767.52942147335364</v>
      </c>
      <c r="F108" s="229">
        <f t="shared" ref="F108:F113" si="2">IF(ISBLANK(D108), "-", (E108/$B$56)*100)</f>
        <v>95.941177684169205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40950051</v>
      </c>
      <c r="E109" s="203">
        <f t="shared" si="1"/>
        <v>793.79514949463078</v>
      </c>
      <c r="F109" s="230">
        <f t="shared" si="2"/>
        <v>99.224393686828847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41410239</v>
      </c>
      <c r="E110" s="203">
        <f t="shared" si="1"/>
        <v>802.71565126044391</v>
      </c>
      <c r="F110" s="230">
        <f t="shared" si="2"/>
        <v>100.33945640755549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41010038</v>
      </c>
      <c r="E111" s="203">
        <f t="shared" si="1"/>
        <v>794.9579658640838</v>
      </c>
      <c r="F111" s="230">
        <f t="shared" si="2"/>
        <v>99.369745733010475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40617388</v>
      </c>
      <c r="E112" s="203">
        <f t="shared" si="1"/>
        <v>787.34665262178612</v>
      </c>
      <c r="F112" s="230">
        <f t="shared" si="2"/>
        <v>98.418331577723265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39510774</v>
      </c>
      <c r="E113" s="204">
        <f t="shared" si="1"/>
        <v>765.89552364607732</v>
      </c>
      <c r="F113" s="231">
        <f t="shared" si="2"/>
        <v>95.736940455759665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785.37339406006265</v>
      </c>
      <c r="F115" s="233">
        <f>AVERAGE(F108:F113)</f>
        <v>98.171674257507831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1.9437709659802207E-2</v>
      </c>
      <c r="F116" s="187">
        <f>STDEV(F108:F113)/F115</f>
        <v>1.9437709659802207E-2</v>
      </c>
      <c r="I116" s="50"/>
    </row>
    <row r="117" spans="1:10" ht="27" customHeight="1" x14ac:dyDescent="0.4">
      <c r="A117" s="527" t="s">
        <v>78</v>
      </c>
      <c r="B117" s="528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29"/>
      <c r="B118" s="530"/>
      <c r="C118" s="50"/>
      <c r="D118" s="212"/>
      <c r="E118" s="555" t="s">
        <v>123</v>
      </c>
      <c r="F118" s="556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765.89552364607732</v>
      </c>
      <c r="F119" s="234">
        <f>MIN(F108:F113)</f>
        <v>95.736940455759665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802.71565126044391</v>
      </c>
      <c r="F120" s="235">
        <f>MAX(F108:F113)</f>
        <v>100.33945640755549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1" t="str">
        <f>B26</f>
        <v>SULFAMETHOXAZOLE</v>
      </c>
      <c r="D124" s="531"/>
      <c r="E124" s="150" t="s">
        <v>127</v>
      </c>
      <c r="F124" s="150"/>
      <c r="G124" s="236">
        <f>F115</f>
        <v>98.171674257507831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95.736940455759665</v>
      </c>
      <c r="E125" s="161" t="s">
        <v>130</v>
      </c>
      <c r="F125" s="236">
        <f>MAX(F108:F113)</f>
        <v>100.33945640755549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2" t="s">
        <v>26</v>
      </c>
      <c r="C127" s="532"/>
      <c r="E127" s="156" t="s">
        <v>27</v>
      </c>
      <c r="F127" s="191"/>
      <c r="G127" s="532" t="s">
        <v>28</v>
      </c>
      <c r="H127" s="532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A31" sqref="A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x14ac:dyDescent="0.3">
      <c r="A15" s="238"/>
    </row>
    <row r="16" spans="1:9" ht="19.5" customHeight="1" x14ac:dyDescent="0.3">
      <c r="A16" s="558" t="s">
        <v>31</v>
      </c>
      <c r="B16" s="559"/>
      <c r="C16" s="559"/>
      <c r="D16" s="559"/>
      <c r="E16" s="559"/>
      <c r="F16" s="559"/>
      <c r="G16" s="559"/>
      <c r="H16" s="560"/>
    </row>
    <row r="17" spans="1:14" ht="20.25" customHeight="1" x14ac:dyDescent="0.25">
      <c r="A17" s="561" t="s">
        <v>47</v>
      </c>
      <c r="B17" s="561"/>
      <c r="C17" s="561"/>
      <c r="D17" s="561"/>
      <c r="E17" s="561"/>
      <c r="F17" s="561"/>
      <c r="G17" s="561"/>
      <c r="H17" s="561"/>
    </row>
    <row r="18" spans="1:14" ht="26.25" customHeight="1" x14ac:dyDescent="0.4">
      <c r="A18" s="240" t="s">
        <v>33</v>
      </c>
      <c r="B18" s="557" t="s">
        <v>5</v>
      </c>
      <c r="C18" s="557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62" t="s">
        <v>136</v>
      </c>
      <c r="C20" s="562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62" t="s">
        <v>11</v>
      </c>
      <c r="C21" s="562"/>
      <c r="D21" s="562"/>
      <c r="E21" s="562"/>
      <c r="F21" s="562"/>
      <c r="G21" s="562"/>
      <c r="H21" s="562"/>
      <c r="I21" s="244"/>
    </row>
    <row r="22" spans="1:14" ht="26.25" customHeight="1" x14ac:dyDescent="0.4">
      <c r="A22" s="240" t="s">
        <v>37</v>
      </c>
      <c r="B22" s="245">
        <v>43130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43132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57" t="s">
        <v>137</v>
      </c>
      <c r="C26" s="557"/>
    </row>
    <row r="27" spans="1:14" ht="26.25" customHeight="1" x14ac:dyDescent="0.4">
      <c r="A27" s="249" t="s">
        <v>48</v>
      </c>
      <c r="B27" s="563" t="s">
        <v>138</v>
      </c>
      <c r="C27" s="563"/>
    </row>
    <row r="28" spans="1:14" ht="27" customHeight="1" x14ac:dyDescent="0.4">
      <c r="A28" s="249" t="s">
        <v>6</v>
      </c>
      <c r="B28" s="250">
        <v>99.75</v>
      </c>
    </row>
    <row r="29" spans="1:14" s="3" customFormat="1" ht="27" customHeight="1" x14ac:dyDescent="0.4">
      <c r="A29" s="249" t="s">
        <v>49</v>
      </c>
      <c r="B29" s="251">
        <v>0</v>
      </c>
      <c r="C29" s="533" t="s">
        <v>50</v>
      </c>
      <c r="D29" s="534"/>
      <c r="E29" s="534"/>
      <c r="F29" s="534"/>
      <c r="G29" s="53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536" t="s">
        <v>53</v>
      </c>
      <c r="D31" s="537"/>
      <c r="E31" s="537"/>
      <c r="F31" s="537"/>
      <c r="G31" s="537"/>
      <c r="H31" s="53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536" t="s">
        <v>55</v>
      </c>
      <c r="D32" s="537"/>
      <c r="E32" s="537"/>
      <c r="F32" s="537"/>
      <c r="G32" s="537"/>
      <c r="H32" s="53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25</v>
      </c>
      <c r="C36" s="239"/>
      <c r="D36" s="539" t="s">
        <v>59</v>
      </c>
      <c r="E36" s="564"/>
      <c r="F36" s="539" t="s">
        <v>60</v>
      </c>
      <c r="G36" s="540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100</v>
      </c>
      <c r="C38" s="271">
        <v>1</v>
      </c>
      <c r="D38" s="272">
        <v>2683088</v>
      </c>
      <c r="E38" s="273">
        <f>IF(ISBLANK(D38),"-",$D$48/$D$45*D38)</f>
        <v>2610201.3889648919</v>
      </c>
      <c r="F38" s="272">
        <v>2852486</v>
      </c>
      <c r="G38" s="274">
        <f>IF(ISBLANK(F38),"-",$D$48/$F$45*F38)</f>
        <v>2665083.9587318711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2663031</v>
      </c>
      <c r="E39" s="278">
        <f>IF(ISBLANK(D39),"-",$D$48/$D$45*D39)</f>
        <v>2590689.241298297</v>
      </c>
      <c r="F39" s="277">
        <v>2871708</v>
      </c>
      <c r="G39" s="279">
        <f>IF(ISBLANK(F39),"-",$D$48/$F$45*F39)</f>
        <v>2683043.1157109919</v>
      </c>
      <c r="I39" s="541">
        <f>ABS((F43/D43*D42)-F42)/D42</f>
        <v>2.2622941013511637E-2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2705013</v>
      </c>
      <c r="E40" s="278">
        <f>IF(ISBLANK(D40),"-",$D$48/$D$45*D40)</f>
        <v>2631530.7920456165</v>
      </c>
      <c r="F40" s="277">
        <v>2841124</v>
      </c>
      <c r="G40" s="279">
        <f>IF(ISBLANK(F40),"-",$D$48/$F$45*F40)</f>
        <v>2654468.4170818469</v>
      </c>
      <c r="I40" s="541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2683710.6666666665</v>
      </c>
      <c r="E42" s="288">
        <f>AVERAGE(E38:E41)</f>
        <v>2610807.1407696018</v>
      </c>
      <c r="F42" s="287">
        <f>AVERAGE(F38:F41)</f>
        <v>2855106</v>
      </c>
      <c r="G42" s="289">
        <f>AVERAGE(G38:G41)</f>
        <v>2667531.8305082368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20.61</v>
      </c>
      <c r="E43" s="280"/>
      <c r="F43" s="292">
        <v>21.46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20.61</v>
      </c>
      <c r="E44" s="295"/>
      <c r="F44" s="294">
        <f>F43*$B$34</f>
        <v>21.46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625</v>
      </c>
      <c r="C45" s="293" t="s">
        <v>77</v>
      </c>
      <c r="D45" s="297">
        <f>D44*$B$30/100</f>
        <v>20.558474999999998</v>
      </c>
      <c r="E45" s="298"/>
      <c r="F45" s="297">
        <f>F44*$B$30/100</f>
        <v>21.406350000000003</v>
      </c>
      <c r="H45" s="290"/>
    </row>
    <row r="46" spans="1:14" ht="19.5" customHeight="1" x14ac:dyDescent="0.3">
      <c r="A46" s="527" t="s">
        <v>78</v>
      </c>
      <c r="B46" s="528"/>
      <c r="C46" s="293" t="s">
        <v>79</v>
      </c>
      <c r="D46" s="299">
        <f>D45/$B$45</f>
        <v>3.2893559999999995E-2</v>
      </c>
      <c r="E46" s="300"/>
      <c r="F46" s="301">
        <f>F45/$B$45</f>
        <v>3.4250160000000009E-2</v>
      </c>
      <c r="H46" s="290"/>
    </row>
    <row r="47" spans="1:14" ht="27" customHeight="1" x14ac:dyDescent="0.4">
      <c r="A47" s="529"/>
      <c r="B47" s="530"/>
      <c r="C47" s="302" t="s">
        <v>80</v>
      </c>
      <c r="D47" s="303">
        <v>3.2000000000000001E-2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2639169.4856389198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1.3211145054020044E-2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tablet contains: Sulfamethoxazole BP 800 mg and Trimethoprim BP 160 mg.</v>
      </c>
    </row>
    <row r="56" spans="1:12" ht="26.25" customHeight="1" x14ac:dyDescent="0.4">
      <c r="A56" s="317" t="s">
        <v>87</v>
      </c>
      <c r="B56" s="318">
        <v>160</v>
      </c>
      <c r="C56" s="239" t="str">
        <f>B20</f>
        <v xml:space="preserve">Trimethoprim </v>
      </c>
      <c r="H56" s="319"/>
    </row>
    <row r="57" spans="1:12" ht="18.75" x14ac:dyDescent="0.3">
      <c r="A57" s="316" t="s">
        <v>88</v>
      </c>
      <c r="B57" s="387">
        <f>Uniformity!C46</f>
        <v>1077.5999999999999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2</v>
      </c>
      <c r="C60" s="544" t="s">
        <v>94</v>
      </c>
      <c r="D60" s="547">
        <v>1078.93</v>
      </c>
      <c r="E60" s="322">
        <v>1</v>
      </c>
      <c r="F60" s="323">
        <v>2549523</v>
      </c>
      <c r="G60" s="388">
        <f>IF(ISBLANK(F60),"-",(F60/$D$50*$D$47*$B$68)*($B$57/$D$60))</f>
        <v>154.37463700856057</v>
      </c>
      <c r="H60" s="406">
        <f t="shared" ref="H60:H71" si="0">IF(ISBLANK(F60),"-",(G60/$B$56)*100)</f>
        <v>96.484148130350349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545"/>
      <c r="D61" s="548"/>
      <c r="E61" s="324">
        <v>2</v>
      </c>
      <c r="F61" s="277">
        <v>2558785</v>
      </c>
      <c r="G61" s="389">
        <f>IF(ISBLANK(F61),"-",(F61/$D$50*$D$47*$B$68)*($B$57/$D$60))</f>
        <v>154.93545481172347</v>
      </c>
      <c r="H61" s="407">
        <f t="shared" si="0"/>
        <v>96.834659257327175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45"/>
      <c r="D62" s="548"/>
      <c r="E62" s="324">
        <v>3</v>
      </c>
      <c r="F62" s="325">
        <v>2577715</v>
      </c>
      <c r="G62" s="389">
        <f>IF(ISBLANK(F62),"-",(F62/$D$50*$D$47*$B$68)*($B$57/$D$60))</f>
        <v>156.08167388037751</v>
      </c>
      <c r="H62" s="407">
        <f t="shared" si="0"/>
        <v>97.551046175235939</v>
      </c>
      <c r="L62" s="252"/>
    </row>
    <row r="63" spans="1:12" ht="27" customHeight="1" x14ac:dyDescent="0.4">
      <c r="A63" s="264" t="s">
        <v>97</v>
      </c>
      <c r="B63" s="265">
        <v>1</v>
      </c>
      <c r="C63" s="554"/>
      <c r="D63" s="54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44" t="s">
        <v>99</v>
      </c>
      <c r="D64" s="547">
        <v>1072.17</v>
      </c>
      <c r="E64" s="322">
        <v>1</v>
      </c>
      <c r="F64" s="323">
        <v>2535737</v>
      </c>
      <c r="G64" s="388">
        <f>IF(ISBLANK(F64),"-",(F64/$D$50*$D$47*$B$68)*($B$57/$D$64))</f>
        <v>154.50795363690901</v>
      </c>
      <c r="H64" s="406">
        <f t="shared" si="0"/>
        <v>96.567471023068123</v>
      </c>
    </row>
    <row r="65" spans="1:8" ht="26.25" customHeight="1" x14ac:dyDescent="0.4">
      <c r="A65" s="264" t="s">
        <v>100</v>
      </c>
      <c r="B65" s="265">
        <v>1</v>
      </c>
      <c r="C65" s="545"/>
      <c r="D65" s="548"/>
      <c r="E65" s="324">
        <v>2</v>
      </c>
      <c r="F65" s="277">
        <v>2500432</v>
      </c>
      <c r="G65" s="389">
        <f>IF(ISBLANK(F65),"-",(F65/$D$50*$D$47*$B$68)*($B$57/$D$64))</f>
        <v>152.35674343523942</v>
      </c>
      <c r="H65" s="407">
        <f t="shared" si="0"/>
        <v>95.222964647024639</v>
      </c>
    </row>
    <row r="66" spans="1:8" ht="26.25" customHeight="1" x14ac:dyDescent="0.4">
      <c r="A66" s="264" t="s">
        <v>101</v>
      </c>
      <c r="B66" s="265">
        <v>1</v>
      </c>
      <c r="C66" s="545"/>
      <c r="D66" s="548"/>
      <c r="E66" s="324">
        <v>3</v>
      </c>
      <c r="F66" s="277">
        <v>2530004</v>
      </c>
      <c r="G66" s="389">
        <f>IF(ISBLANK(F66),"-",(F66/$D$50*$D$47*$B$68)*($B$57/$D$64))</f>
        <v>154.15862951607139</v>
      </c>
      <c r="H66" s="407">
        <f t="shared" si="0"/>
        <v>96.34914344754462</v>
      </c>
    </row>
    <row r="67" spans="1:8" ht="27" customHeight="1" x14ac:dyDescent="0.4">
      <c r="A67" s="264" t="s">
        <v>102</v>
      </c>
      <c r="B67" s="265">
        <v>1</v>
      </c>
      <c r="C67" s="554"/>
      <c r="D67" s="54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5000</v>
      </c>
      <c r="C68" s="544" t="s">
        <v>104</v>
      </c>
      <c r="D68" s="547">
        <v>1081.2</v>
      </c>
      <c r="E68" s="322">
        <v>1</v>
      </c>
      <c r="F68" s="323">
        <v>2600190</v>
      </c>
      <c r="G68" s="388">
        <f>IF(ISBLANK(F68),"-",(F68/$D$50*$D$47*$B$68)*($B$57/$D$68))</f>
        <v>157.11199049529483</v>
      </c>
      <c r="H68" s="407">
        <f t="shared" si="0"/>
        <v>98.194994059559264</v>
      </c>
    </row>
    <row r="69" spans="1:8" ht="27" customHeight="1" x14ac:dyDescent="0.4">
      <c r="A69" s="312" t="s">
        <v>105</v>
      </c>
      <c r="B69" s="329">
        <f>(D47*B68)/B56*B57</f>
        <v>1077.5999999999999</v>
      </c>
      <c r="C69" s="545"/>
      <c r="D69" s="548"/>
      <c r="E69" s="324">
        <v>2</v>
      </c>
      <c r="F69" s="277">
        <v>2567457</v>
      </c>
      <c r="G69" s="389">
        <f>IF(ISBLANK(F69),"-",(F69/$D$50*$D$47*$B$68)*($B$57/$D$68))</f>
        <v>155.13415549674383</v>
      </c>
      <c r="H69" s="407">
        <f t="shared" si="0"/>
        <v>96.95884718546489</v>
      </c>
    </row>
    <row r="70" spans="1:8" ht="26.25" customHeight="1" x14ac:dyDescent="0.4">
      <c r="A70" s="550" t="s">
        <v>78</v>
      </c>
      <c r="B70" s="551"/>
      <c r="C70" s="545"/>
      <c r="D70" s="548"/>
      <c r="E70" s="324">
        <v>3</v>
      </c>
      <c r="F70" s="277">
        <v>2592154</v>
      </c>
      <c r="G70" s="389">
        <f>IF(ISBLANK(F70),"-",(F70/$D$50*$D$47*$B$68)*($B$57/$D$68))</f>
        <v>156.62642907262182</v>
      </c>
      <c r="H70" s="407">
        <f t="shared" si="0"/>
        <v>97.891518170388636</v>
      </c>
    </row>
    <row r="71" spans="1:8" ht="27" customHeight="1" x14ac:dyDescent="0.4">
      <c r="A71" s="552"/>
      <c r="B71" s="553"/>
      <c r="C71" s="546"/>
      <c r="D71" s="54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155.03196303928246</v>
      </c>
      <c r="H72" s="409">
        <f>AVERAGE(H60:H71)</f>
        <v>96.894976899551509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9.2962038517962822E-3</v>
      </c>
      <c r="H73" s="393">
        <f>STDEV(H60:H71)/H72</f>
        <v>9.2962038517962718E-3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31" t="str">
        <f>B26</f>
        <v>TRIMETHOPRIM</v>
      </c>
      <c r="D76" s="531"/>
      <c r="E76" s="338" t="s">
        <v>108</v>
      </c>
      <c r="F76" s="338"/>
      <c r="G76" s="425">
        <f>H72</f>
        <v>96.894976899551509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65" t="str">
        <f>B26</f>
        <v>TRIMETHOPRIM</v>
      </c>
      <c r="C79" s="565"/>
    </row>
    <row r="80" spans="1:8" ht="26.25" customHeight="1" x14ac:dyDescent="0.4">
      <c r="A80" s="249" t="s">
        <v>48</v>
      </c>
      <c r="B80" s="565" t="str">
        <f>B27</f>
        <v>T7-5</v>
      </c>
      <c r="C80" s="565"/>
    </row>
    <row r="81" spans="1:12" ht="27" customHeight="1" x14ac:dyDescent="0.4">
      <c r="A81" s="249" t="s">
        <v>6</v>
      </c>
      <c r="B81" s="341">
        <f>B28</f>
        <v>99.75</v>
      </c>
    </row>
    <row r="82" spans="1:12" s="3" customFormat="1" ht="27" customHeight="1" x14ac:dyDescent="0.4">
      <c r="A82" s="249" t="s">
        <v>49</v>
      </c>
      <c r="B82" s="251">
        <v>0</v>
      </c>
      <c r="C82" s="533" t="s">
        <v>50</v>
      </c>
      <c r="D82" s="534"/>
      <c r="E82" s="534"/>
      <c r="F82" s="534"/>
      <c r="G82" s="53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536" t="s">
        <v>111</v>
      </c>
      <c r="D84" s="537"/>
      <c r="E84" s="537"/>
      <c r="F84" s="537"/>
      <c r="G84" s="537"/>
      <c r="H84" s="53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536" t="s">
        <v>112</v>
      </c>
      <c r="D85" s="537"/>
      <c r="E85" s="537"/>
      <c r="F85" s="537"/>
      <c r="G85" s="537"/>
      <c r="H85" s="53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25</v>
      </c>
      <c r="D89" s="342" t="s">
        <v>59</v>
      </c>
      <c r="E89" s="343"/>
      <c r="F89" s="539" t="s">
        <v>60</v>
      </c>
      <c r="G89" s="540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100</v>
      </c>
      <c r="C91" s="346">
        <v>1</v>
      </c>
      <c r="D91" s="272">
        <v>2683088</v>
      </c>
      <c r="E91" s="273">
        <f>IF(ISBLANK(D91),"-",$D$101/$D$98*D91)</f>
        <v>2900223.7655165466</v>
      </c>
      <c r="F91" s="272">
        <v>2852486</v>
      </c>
      <c r="G91" s="274">
        <f>IF(ISBLANK(F91),"-",$D$101/$F$98*F91)</f>
        <v>2961204.3985909675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2663031</v>
      </c>
      <c r="E92" s="278">
        <f>IF(ISBLANK(D92),"-",$D$101/$D$98*D92)</f>
        <v>2878543.6014425522</v>
      </c>
      <c r="F92" s="277">
        <v>2871708</v>
      </c>
      <c r="G92" s="279">
        <f>IF(ISBLANK(F92),"-",$D$101/$F$98*F92)</f>
        <v>2981159.0174566573</v>
      </c>
      <c r="I92" s="541">
        <f>ABS((F96/D96*D95)-F95)/D95</f>
        <v>2.2622941013511637E-2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2705013</v>
      </c>
      <c r="E93" s="278">
        <f>IF(ISBLANK(D93),"-",$D$101/$D$98*D93)</f>
        <v>2923923.1022729073</v>
      </c>
      <c r="F93" s="277">
        <v>2841124</v>
      </c>
      <c r="G93" s="279">
        <f>IF(ISBLANK(F93),"-",$D$101/$F$98*F93)</f>
        <v>2949409.3523131628</v>
      </c>
      <c r="I93" s="541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2683710.6666666665</v>
      </c>
      <c r="E95" s="288">
        <f>AVERAGE(E91:E94)</f>
        <v>2900896.8230773355</v>
      </c>
      <c r="F95" s="351">
        <f>AVERAGE(F91:F94)</f>
        <v>2855106</v>
      </c>
      <c r="G95" s="352">
        <f>AVERAGE(G91:G94)</f>
        <v>2963924.2561202627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20.61</v>
      </c>
      <c r="E96" s="280"/>
      <c r="F96" s="292">
        <v>21.46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20.61</v>
      </c>
      <c r="E97" s="295"/>
      <c r="F97" s="294">
        <f>F96*$B$87</f>
        <v>21.46</v>
      </c>
    </row>
    <row r="98" spans="1:10" ht="19.5" customHeight="1" x14ac:dyDescent="0.3">
      <c r="A98" s="264" t="s">
        <v>76</v>
      </c>
      <c r="B98" s="357">
        <f>(B97/B96)*(B95/B94)*(B93/B92)*(B91/B90)*B89</f>
        <v>625</v>
      </c>
      <c r="C98" s="355" t="s">
        <v>115</v>
      </c>
      <c r="D98" s="358">
        <f>D97*$B$83/100</f>
        <v>20.558474999999998</v>
      </c>
      <c r="E98" s="298"/>
      <c r="F98" s="297">
        <f>F97*$B$83/100</f>
        <v>21.406350000000003</v>
      </c>
    </row>
    <row r="99" spans="1:10" ht="19.5" customHeight="1" x14ac:dyDescent="0.3">
      <c r="A99" s="527" t="s">
        <v>78</v>
      </c>
      <c r="B99" s="542"/>
      <c r="C99" s="355" t="s">
        <v>116</v>
      </c>
      <c r="D99" s="359">
        <f>D98/$B$98</f>
        <v>3.2893559999999995E-2</v>
      </c>
      <c r="E99" s="298"/>
      <c r="F99" s="301">
        <f>F98/$B$98</f>
        <v>3.4250160000000009E-2</v>
      </c>
      <c r="G99" s="360"/>
      <c r="H99" s="290"/>
    </row>
    <row r="100" spans="1:10" ht="19.5" customHeight="1" x14ac:dyDescent="0.3">
      <c r="A100" s="529"/>
      <c r="B100" s="543"/>
      <c r="C100" s="355" t="s">
        <v>80</v>
      </c>
      <c r="D100" s="361">
        <f>$B$56/$B$116</f>
        <v>3.5555555555555556E-2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2932410.5395987988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1.321114505401998E-2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10</v>
      </c>
      <c r="C108" s="415">
        <v>1</v>
      </c>
      <c r="D108" s="416">
        <v>2712449</v>
      </c>
      <c r="E108" s="390">
        <f t="shared" ref="E108:E113" si="1">IF(ISBLANK(D108),"-",D108/$D$103*$D$100*$B$116)</f>
        <v>147.99832224698562</v>
      </c>
      <c r="F108" s="417">
        <f t="shared" ref="F108:F113" si="2">IF(ISBLANK(D108), "-", (E108/$B$56)*100)</f>
        <v>92.498951404366011</v>
      </c>
    </row>
    <row r="109" spans="1:10" ht="26.25" customHeight="1" x14ac:dyDescent="0.4">
      <c r="A109" s="264" t="s">
        <v>95</v>
      </c>
      <c r="B109" s="265">
        <v>50</v>
      </c>
      <c r="C109" s="411">
        <v>2</v>
      </c>
      <c r="D109" s="413">
        <v>2817026</v>
      </c>
      <c r="E109" s="391">
        <f t="shared" si="1"/>
        <v>153.7043172889654</v>
      </c>
      <c r="F109" s="418">
        <f t="shared" si="2"/>
        <v>96.065198305603374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2827162</v>
      </c>
      <c r="E110" s="391">
        <f t="shared" si="1"/>
        <v>154.25736399852394</v>
      </c>
      <c r="F110" s="418">
        <f t="shared" si="2"/>
        <v>96.410852499077464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2808384</v>
      </c>
      <c r="E111" s="391">
        <f t="shared" si="1"/>
        <v>153.23278713269022</v>
      </c>
      <c r="F111" s="418">
        <f t="shared" si="2"/>
        <v>95.770491957931398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2765024</v>
      </c>
      <c r="E112" s="391">
        <f t="shared" si="1"/>
        <v>150.86695195841438</v>
      </c>
      <c r="F112" s="418">
        <f t="shared" si="2"/>
        <v>94.291844974008981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2682743</v>
      </c>
      <c r="E113" s="392">
        <f t="shared" si="1"/>
        <v>146.37748507708159</v>
      </c>
      <c r="F113" s="419">
        <f t="shared" si="2"/>
        <v>91.485928173175992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151.07287128377683</v>
      </c>
      <c r="F115" s="421">
        <f>AVERAGE(F108:F113)</f>
        <v>94.420544552360539</v>
      </c>
    </row>
    <row r="116" spans="1:10" ht="27" customHeight="1" x14ac:dyDescent="0.4">
      <c r="A116" s="264" t="s">
        <v>103</v>
      </c>
      <c r="B116" s="296">
        <f>(B115/B114)*(B113/B112)*(B111/B110)*(B109/B108)*B107</f>
        <v>4500</v>
      </c>
      <c r="C116" s="374"/>
      <c r="D116" s="398" t="s">
        <v>84</v>
      </c>
      <c r="E116" s="396">
        <f>STDEV(E108:E113)/E115</f>
        <v>2.160631198110834E-2</v>
      </c>
      <c r="F116" s="375">
        <f>STDEV(F108:F113)/F115</f>
        <v>2.1606311981108361E-2</v>
      </c>
      <c r="I116" s="238"/>
    </row>
    <row r="117" spans="1:10" ht="27" customHeight="1" x14ac:dyDescent="0.4">
      <c r="A117" s="527" t="s">
        <v>78</v>
      </c>
      <c r="B117" s="528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29"/>
      <c r="B118" s="530"/>
      <c r="C118" s="238"/>
      <c r="D118" s="400"/>
      <c r="E118" s="555" t="s">
        <v>123</v>
      </c>
      <c r="F118" s="556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146.37748507708159</v>
      </c>
      <c r="F119" s="422">
        <f>MIN(F108:F113)</f>
        <v>91.485928173175992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154.25736399852394</v>
      </c>
      <c r="F120" s="423">
        <f>MAX(F108:F113)</f>
        <v>96.410852499077464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31" t="str">
        <f>B26</f>
        <v>TRIMETHOPRIM</v>
      </c>
      <c r="D124" s="531"/>
      <c r="E124" s="338" t="s">
        <v>127</v>
      </c>
      <c r="F124" s="338"/>
      <c r="G124" s="424">
        <f>F115</f>
        <v>94.420544552360539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91.485928173175992</v>
      </c>
      <c r="E125" s="349" t="s">
        <v>130</v>
      </c>
      <c r="F125" s="424">
        <f>MAX(F108:F113)</f>
        <v>96.410852499077464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32" t="s">
        <v>26</v>
      </c>
      <c r="C127" s="532"/>
      <c r="E127" s="344" t="s">
        <v>27</v>
      </c>
      <c r="F127" s="379"/>
      <c r="G127" s="532" t="s">
        <v>28</v>
      </c>
      <c r="H127" s="532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2018-02-02T12:19:10Z</cp:lastPrinted>
  <dcterms:created xsi:type="dcterms:W3CDTF">2005-07-05T10:19:27Z</dcterms:created>
  <dcterms:modified xsi:type="dcterms:W3CDTF">2018-02-08T12:05:17Z</dcterms:modified>
</cp:coreProperties>
</file>