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Fluconazol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D41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D97" i="3"/>
  <c r="D98" i="3" s="1"/>
  <c r="E91" i="3" s="1"/>
  <c r="I39" i="3"/>
  <c r="F44" i="3"/>
  <c r="F45" i="3" s="1"/>
  <c r="F46" i="3" s="1"/>
  <c r="D45" i="3"/>
  <c r="E38" i="3" s="1"/>
  <c r="B69" i="3"/>
  <c r="E41" i="3"/>
  <c r="F98" i="3"/>
  <c r="C50" i="2"/>
  <c r="D26" i="2"/>
  <c r="D30" i="2"/>
  <c r="D34" i="2"/>
  <c r="D38" i="2"/>
  <c r="D42" i="2"/>
  <c r="B49" i="2"/>
  <c r="D50" i="2"/>
  <c r="D49" i="3"/>
  <c r="G93" i="3"/>
  <c r="D27" i="2"/>
  <c r="D31" i="2"/>
  <c r="D35" i="2"/>
  <c r="D39" i="2"/>
  <c r="D43" i="2"/>
  <c r="C49" i="2"/>
  <c r="G92" i="3"/>
  <c r="D24" i="2"/>
  <c r="D28" i="2"/>
  <c r="D32" i="2"/>
  <c r="D36" i="2"/>
  <c r="D40" i="2"/>
  <c r="D49" i="2"/>
  <c r="G38" i="3" l="1"/>
  <c r="G39" i="3"/>
  <c r="G40" i="3"/>
  <c r="D46" i="3"/>
  <c r="E40" i="3"/>
  <c r="E39" i="3"/>
  <c r="G41" i="3"/>
  <c r="E94" i="3"/>
  <c r="E92" i="3"/>
  <c r="E93" i="3"/>
  <c r="D99" i="3"/>
  <c r="F99" i="3"/>
  <c r="G91" i="3"/>
  <c r="G94" i="3"/>
  <c r="E95" i="3" l="1"/>
  <c r="G95" i="3"/>
  <c r="D103" i="3"/>
  <c r="D104" i="3" s="1"/>
  <c r="D52" i="3"/>
  <c r="G42" i="3"/>
  <c r="E42" i="3"/>
  <c r="D50" i="3"/>
  <c r="G65" i="3" s="1"/>
  <c r="H65" i="3" s="1"/>
  <c r="D105" i="3"/>
  <c r="E109" i="3" l="1"/>
  <c r="F109" i="3" s="1"/>
  <c r="E108" i="3"/>
  <c r="F108" i="3" s="1"/>
  <c r="E110" i="3"/>
  <c r="F110" i="3" s="1"/>
  <c r="E111" i="3"/>
  <c r="F111" i="3" s="1"/>
  <c r="E112" i="3"/>
  <c r="F112" i="3" s="1"/>
  <c r="E113" i="3"/>
  <c r="F113" i="3" s="1"/>
  <c r="G62" i="3"/>
  <c r="H62" i="3" s="1"/>
  <c r="G71" i="3"/>
  <c r="H71" i="3" s="1"/>
  <c r="G67" i="3"/>
  <c r="H67" i="3" s="1"/>
  <c r="D51" i="3"/>
  <c r="G64" i="3"/>
  <c r="H64" i="3" s="1"/>
  <c r="G61" i="3"/>
  <c r="H61" i="3" s="1"/>
  <c r="G70" i="3"/>
  <c r="H70" i="3" s="1"/>
  <c r="G68" i="3"/>
  <c r="H68" i="3" s="1"/>
  <c r="G66" i="3"/>
  <c r="H66" i="3" s="1"/>
  <c r="G63" i="3"/>
  <c r="H63" i="3" s="1"/>
  <c r="G60" i="3"/>
  <c r="G69" i="3"/>
  <c r="H69" i="3" s="1"/>
  <c r="E117" i="3" l="1"/>
  <c r="E115" i="3"/>
  <c r="E116" i="3" s="1"/>
  <c r="E120" i="3"/>
  <c r="E119" i="3"/>
  <c r="G74" i="3"/>
  <c r="H60" i="3"/>
  <c r="H74" i="3" s="1"/>
  <c r="G72" i="3"/>
  <c r="G73" i="3" s="1"/>
  <c r="F125" i="3"/>
  <c r="F120" i="3"/>
  <c r="F117" i="3"/>
  <c r="D125" i="3"/>
  <c r="F115" i="3"/>
  <c r="F119" i="3"/>
  <c r="H72" i="3" l="1"/>
  <c r="G76" i="3" s="1"/>
  <c r="G124" i="3"/>
  <c r="F116" i="3"/>
  <c r="H73" i="3" l="1"/>
</calcChain>
</file>

<file path=xl/sharedStrings.xml><?xml version="1.0" encoding="utf-8"?>
<sst xmlns="http://schemas.openxmlformats.org/spreadsheetml/2006/main" count="242" uniqueCount="135">
  <si>
    <t>HPLC System Suitability Report</t>
  </si>
  <si>
    <t>Analysis Data</t>
  </si>
  <si>
    <t>Assay</t>
  </si>
  <si>
    <t>Sample(s)</t>
  </si>
  <si>
    <t>Reference Substance:</t>
  </si>
  <si>
    <t>FLUCONAZOLE 200 mg TABLETS</t>
  </si>
  <si>
    <t>% age Purity:</t>
  </si>
  <si>
    <t>NDQB201801306</t>
  </si>
  <si>
    <t>Weight (mg):</t>
  </si>
  <si>
    <t>Fluconazole USP</t>
  </si>
  <si>
    <t>Standard Conc (mg/mL):</t>
  </si>
  <si>
    <t>Each tablet contains: Fluconazole USP 200 mg.</t>
  </si>
  <si>
    <t>2018-01-24 08:56:13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</si>
  <si>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</si>
  <si>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</si>
  <si>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</si>
  <si>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</si>
  <si>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</si>
  <si>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</si>
  <si>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</si>
  <si>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</si>
  <si>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</si>
  <si>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</si>
  <si>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</si>
  <si>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</si>
  <si>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</si>
  <si>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</si>
  <si>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</si>
  <si>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</si>
  <si>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</si>
  <si>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</si>
  <si>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</si>
  <si>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</si>
  <si>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</si>
  <si>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</si>
  <si>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</si>
  <si>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</si>
  <si>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</si>
  <si>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</si>
  <si>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</si>
  <si>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</si>
  <si>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</si>
  <si>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</si>
  <si>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</si>
  <si>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</si>
  <si>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</si>
  <si>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</si>
  <si>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</si>
  <si>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</si>
  <si>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</si>
  <si>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</si>
  <si>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</si>
  <si>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</si>
  <si>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</si>
  <si>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</si>
  <si>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</si>
  <si>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</si>
  <si>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</si>
  <si>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</si>
  <si>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</si>
  <si>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</si>
  <si>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</si>
  <si>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</si>
  <si>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</si>
  <si>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</si>
  <si>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</si>
  <si>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</si>
  <si>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</si>
  <si>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</si>
  <si>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</si>
  <si>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</si>
  <si>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</si>
  <si>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</si>
  <si>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</si>
  <si>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</si>
  <si>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</si>
  <si>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</si>
  <si>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</si>
  <si>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</si>
  <si>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</si>
  <si>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</si>
  <si>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</si>
  <si>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</si>
  <si>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</si>
  <si>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</si>
  <si>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</si>
  <si>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</si>
  <si>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</si>
  <si>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</si>
  <si>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</si>
  <si>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</si>
  <si>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</si>
  <si>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</si>
  <si>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</si>
  <si>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</si>
  <si>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</si>
  <si>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</si>
  <si>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</si>
  <si>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</si>
  <si>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</si>
  <si>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</si>
  <si>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</si>
  <si>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</si>
  <si>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</si>
  <si>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</si>
  <si>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</si>
  <si>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</si>
  <si>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</si>
  <si>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</si>
  <si>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</si>
  <si>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</si>
  <si>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</si>
  <si>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</si>
  <si>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</si>
  <si>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</si>
  <si>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</si>
  <si>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</si>
  <si>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</si>
  <si>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</si>
  <si>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</si>
  <si>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</si>
  <si>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</si>
  <si>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</si>
  <si>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</si>
  <si>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</si>
  <si>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</si>
  <si>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</si>
  <si>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</si>
  <si>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</si>
  <si>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</si>
  <si>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</si>
  <si>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FLUCONAZOLE</t>
  </si>
  <si>
    <t>F1-10</t>
  </si>
  <si>
    <t>PETER</t>
  </si>
  <si>
    <t>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</si>
</sst>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5" fillId="2" borderId="0" xfId="0" applyFont="1" applyFill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337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20.3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5875284</v>
      </c>
      <c r="C24" s="18">
        <v>9443.7000000000007</v>
      </c>
      <c r="D24" s="19">
        <v>1.1000000000000001</v>
      </c>
      <c r="E24" s="20">
        <v>6.8</v>
      </c>
    </row>
    <row r="25" spans="1:6" ht="16.5" customHeight="1" x14ac:dyDescent="0.3">
      <c r="A25" s="17">
        <v>2</v>
      </c>
      <c r="B25" s="18">
        <v>5901252</v>
      </c>
      <c r="C25" s="18">
        <v>9433.9</v>
      </c>
      <c r="D25" s="19">
        <v>1.1000000000000001</v>
      </c>
      <c r="E25" s="20">
        <v>6.8</v>
      </c>
    </row>
    <row r="26" spans="1:6" ht="16.5" customHeight="1" x14ac:dyDescent="0.3">
      <c r="A26" s="17">
        <v>3</v>
      </c>
      <c r="B26" s="18">
        <v>5882988</v>
      </c>
      <c r="C26" s="18">
        <v>9462.2000000000007</v>
      </c>
      <c r="D26" s="19">
        <v>1.1000000000000001</v>
      </c>
      <c r="E26" s="20">
        <v>6.8</v>
      </c>
    </row>
    <row r="27" spans="1:6" ht="16.5" customHeight="1" x14ac:dyDescent="0.3">
      <c r="A27" s="17">
        <v>4</v>
      </c>
      <c r="B27" s="18">
        <v>5902959</v>
      </c>
      <c r="C27" s="18">
        <v>9446.5</v>
      </c>
      <c r="D27" s="19">
        <v>1.1000000000000001</v>
      </c>
      <c r="E27" s="20">
        <v>6.8</v>
      </c>
    </row>
    <row r="28" spans="1:6" ht="16.5" customHeight="1" x14ac:dyDescent="0.3">
      <c r="A28" s="17">
        <v>5</v>
      </c>
      <c r="B28" s="18">
        <v>5903116</v>
      </c>
      <c r="C28" s="18">
        <v>9466.2000000000007</v>
      </c>
      <c r="D28" s="19">
        <v>1.1000000000000001</v>
      </c>
      <c r="E28" s="20">
        <v>6.8</v>
      </c>
    </row>
    <row r="29" spans="1:6" ht="16.5" customHeight="1" x14ac:dyDescent="0.3">
      <c r="A29" s="17">
        <v>6</v>
      </c>
      <c r="B29" s="21">
        <v>5881379</v>
      </c>
      <c r="C29" s="21">
        <v>9473.4</v>
      </c>
      <c r="D29" s="19">
        <v>1.1000000000000001</v>
      </c>
      <c r="E29" s="20">
        <v>6.8</v>
      </c>
    </row>
    <row r="30" spans="1:6" ht="16.5" customHeight="1" x14ac:dyDescent="0.3">
      <c r="A30" s="23" t="s">
        <v>18</v>
      </c>
      <c r="B30" s="24">
        <f>AVERAGE(B24:B29)</f>
        <v>5891163</v>
      </c>
      <c r="C30" s="25">
        <f>AVERAGE(C24:C29)</f>
        <v>9454.3166666666675</v>
      </c>
      <c r="D30" s="26">
        <f>AVERAGE(D24:D29)</f>
        <v>1.0999999999999999</v>
      </c>
      <c r="E30" s="26">
        <f>AVERAGE(E24:E29)</f>
        <v>6.8</v>
      </c>
    </row>
    <row r="31" spans="1:6" ht="16.5" customHeight="1" x14ac:dyDescent="0.3">
      <c r="A31" s="27" t="s">
        <v>19</v>
      </c>
      <c r="B31" s="28">
        <f>(STDEV(B24:B29)/B30)</f>
        <v>2.1451294444184412E-3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5875284</v>
      </c>
      <c r="C45" s="18">
        <v>9443.7000000000007</v>
      </c>
      <c r="D45" s="19">
        <v>1.1000000000000001</v>
      </c>
      <c r="E45" s="20">
        <v>6.8</v>
      </c>
    </row>
    <row r="46" spans="1:6" ht="16.5" customHeight="1" x14ac:dyDescent="0.3">
      <c r="A46" s="17">
        <v>2</v>
      </c>
      <c r="B46" s="18">
        <v>5901252</v>
      </c>
      <c r="C46" s="18">
        <v>9433.9</v>
      </c>
      <c r="D46" s="19">
        <v>1.1000000000000001</v>
      </c>
      <c r="E46" s="19">
        <v>6.8</v>
      </c>
    </row>
    <row r="47" spans="1:6" ht="16.5" customHeight="1" x14ac:dyDescent="0.3">
      <c r="A47" s="17">
        <v>3</v>
      </c>
      <c r="B47" s="18">
        <v>5882988</v>
      </c>
      <c r="C47" s="18">
        <v>9462.2000000000007</v>
      </c>
      <c r="D47" s="19">
        <v>1.1000000000000001</v>
      </c>
      <c r="E47" s="19">
        <v>6.8</v>
      </c>
    </row>
    <row r="48" spans="1:6" ht="16.5" customHeight="1" x14ac:dyDescent="0.3">
      <c r="A48" s="17">
        <v>4</v>
      </c>
      <c r="B48" s="18">
        <v>5902959</v>
      </c>
      <c r="C48" s="18">
        <v>9446.5</v>
      </c>
      <c r="D48" s="19">
        <v>1.1000000000000001</v>
      </c>
      <c r="E48" s="19">
        <v>6.8</v>
      </c>
    </row>
    <row r="49" spans="1:7" ht="16.5" customHeight="1" x14ac:dyDescent="0.3">
      <c r="A49" s="17">
        <v>5</v>
      </c>
      <c r="B49" s="18">
        <v>5903116</v>
      </c>
      <c r="C49" s="18">
        <v>9466.2000000000007</v>
      </c>
      <c r="D49" s="19">
        <v>1.1000000000000001</v>
      </c>
      <c r="E49" s="19">
        <v>6.8</v>
      </c>
    </row>
    <row r="50" spans="1:7" ht="16.5" customHeight="1" x14ac:dyDescent="0.3">
      <c r="A50" s="17">
        <v>6</v>
      </c>
      <c r="B50" s="21">
        <v>5881379</v>
      </c>
      <c r="C50" s="21">
        <v>9473.4</v>
      </c>
      <c r="D50" s="22">
        <v>1.1000000000000001</v>
      </c>
      <c r="E50" s="22">
        <v>6.8</v>
      </c>
    </row>
    <row r="51" spans="1:7" ht="16.5" customHeight="1" x14ac:dyDescent="0.3">
      <c r="A51" s="23" t="s">
        <v>18</v>
      </c>
      <c r="B51" s="24">
        <f>AVERAGE(B45:B50)</f>
        <v>5891163</v>
      </c>
      <c r="C51" s="25">
        <f>AVERAGE(C45:C50)</f>
        <v>9454.3166666666675</v>
      </c>
      <c r="D51" s="26">
        <f>AVERAGE(D45:D50)</f>
        <v>1.0999999999999999</v>
      </c>
      <c r="E51" s="26">
        <f>AVERAGE(E45:E50)</f>
        <v>6.8</v>
      </c>
    </row>
    <row r="52" spans="1:7" ht="16.5" customHeight="1" x14ac:dyDescent="0.3">
      <c r="A52" s="27" t="s">
        <v>19</v>
      </c>
      <c r="B52" s="28">
        <f>(STDEV(B45:B50)/B51)</f>
        <v>2.1451294444184412E-3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133</v>
      </c>
      <c r="C60" s="48" t="s">
        <v>134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3" workbookViewId="0">
      <selection activeCell="H41" sqref="H4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465.16</v>
      </c>
      <c r="D24" s="87">
        <f t="shared" ref="D24:D43" si="0">(C24-$C$46)/$C$46</f>
        <v>-4.7690467683235696E-3</v>
      </c>
      <c r="E24" s="53"/>
    </row>
    <row r="25" spans="1:5" ht="15.75" customHeight="1" x14ac:dyDescent="0.3">
      <c r="C25" s="95">
        <v>455.54</v>
      </c>
      <c r="D25" s="88">
        <f t="shared" si="0"/>
        <v>-2.5351473825870934E-2</v>
      </c>
      <c r="E25" s="53"/>
    </row>
    <row r="26" spans="1:5" ht="15.75" customHeight="1" x14ac:dyDescent="0.3">
      <c r="C26" s="95">
        <v>462.9</v>
      </c>
      <c r="D26" s="88">
        <f t="shared" si="0"/>
        <v>-9.6044194450447748E-3</v>
      </c>
      <c r="E26" s="53"/>
    </row>
    <row r="27" spans="1:5" ht="15.75" customHeight="1" x14ac:dyDescent="0.3">
      <c r="C27" s="95">
        <v>459.28</v>
      </c>
      <c r="D27" s="88">
        <f t="shared" si="0"/>
        <v>-1.7349573909527263E-2</v>
      </c>
      <c r="E27" s="53"/>
    </row>
    <row r="28" spans="1:5" ht="15.75" customHeight="1" x14ac:dyDescent="0.3">
      <c r="C28" s="95">
        <v>461.01</v>
      </c>
      <c r="D28" s="88">
        <f t="shared" si="0"/>
        <v>-1.3648160311860183E-2</v>
      </c>
      <c r="E28" s="53"/>
    </row>
    <row r="29" spans="1:5" ht="15.75" customHeight="1" x14ac:dyDescent="0.3">
      <c r="C29" s="95">
        <v>483.43</v>
      </c>
      <c r="D29" s="88">
        <f t="shared" si="0"/>
        <v>3.4320448277558945E-2</v>
      </c>
      <c r="E29" s="53"/>
    </row>
    <row r="30" spans="1:5" ht="15.75" customHeight="1" x14ac:dyDescent="0.3">
      <c r="C30" s="95">
        <v>470.86</v>
      </c>
      <c r="D30" s="88">
        <f t="shared" si="0"/>
        <v>7.4263621950880392E-3</v>
      </c>
      <c r="E30" s="53"/>
    </row>
    <row r="31" spans="1:5" ht="15.75" customHeight="1" x14ac:dyDescent="0.3">
      <c r="C31" s="95">
        <v>453.4</v>
      </c>
      <c r="D31" s="88">
        <f t="shared" si="0"/>
        <v>-2.993010105073083E-2</v>
      </c>
      <c r="E31" s="53"/>
    </row>
    <row r="32" spans="1:5" ht="15.75" customHeight="1" x14ac:dyDescent="0.3">
      <c r="C32" s="95">
        <v>465.15</v>
      </c>
      <c r="D32" s="88">
        <f t="shared" si="0"/>
        <v>-4.790442222645447E-3</v>
      </c>
      <c r="E32" s="53"/>
    </row>
    <row r="33" spans="1:7" ht="15.75" customHeight="1" x14ac:dyDescent="0.3">
      <c r="C33" s="95">
        <v>466.49</v>
      </c>
      <c r="D33" s="88">
        <f t="shared" si="0"/>
        <v>-1.9234513435275561E-3</v>
      </c>
      <c r="E33" s="53"/>
    </row>
    <row r="34" spans="1:7" ht="15.75" customHeight="1" x14ac:dyDescent="0.3">
      <c r="C34" s="95">
        <v>455.77</v>
      </c>
      <c r="D34" s="88">
        <f t="shared" si="0"/>
        <v>-2.4859378376470193E-2</v>
      </c>
      <c r="E34" s="53"/>
    </row>
    <row r="35" spans="1:7" ht="15.75" customHeight="1" x14ac:dyDescent="0.3">
      <c r="C35" s="95">
        <v>477.52</v>
      </c>
      <c r="D35" s="88">
        <f t="shared" si="0"/>
        <v>2.1675734773389986E-2</v>
      </c>
      <c r="E35" s="53"/>
    </row>
    <row r="36" spans="1:7" ht="15.75" customHeight="1" x14ac:dyDescent="0.3">
      <c r="C36" s="95">
        <v>473.57</v>
      </c>
      <c r="D36" s="88">
        <f t="shared" si="0"/>
        <v>1.3224530316288965E-2</v>
      </c>
      <c r="E36" s="53"/>
    </row>
    <row r="37" spans="1:7" ht="15.75" customHeight="1" x14ac:dyDescent="0.3">
      <c r="C37" s="95">
        <v>479.96</v>
      </c>
      <c r="D37" s="88">
        <f t="shared" si="0"/>
        <v>2.6896225627903031E-2</v>
      </c>
      <c r="E37" s="53"/>
    </row>
    <row r="38" spans="1:7" ht="15.75" customHeight="1" x14ac:dyDescent="0.3">
      <c r="C38" s="95">
        <v>480.14</v>
      </c>
      <c r="D38" s="88">
        <f t="shared" si="0"/>
        <v>2.7281343805694989E-2</v>
      </c>
      <c r="E38" s="53"/>
    </row>
    <row r="39" spans="1:7" ht="15.75" customHeight="1" x14ac:dyDescent="0.3">
      <c r="C39" s="95">
        <v>469.57</v>
      </c>
      <c r="D39" s="88">
        <f t="shared" si="0"/>
        <v>4.6663485875790469E-3</v>
      </c>
      <c r="E39" s="53"/>
    </row>
    <row r="40" spans="1:7" ht="15.75" customHeight="1" x14ac:dyDescent="0.3">
      <c r="C40" s="95">
        <v>479.92</v>
      </c>
      <c r="D40" s="88">
        <f t="shared" si="0"/>
        <v>2.6810643810616007E-2</v>
      </c>
      <c r="E40" s="53"/>
    </row>
    <row r="41" spans="1:7" ht="15.75" customHeight="1" x14ac:dyDescent="0.3">
      <c r="C41" s="95">
        <v>473.17</v>
      </c>
      <c r="D41" s="88">
        <f t="shared" si="0"/>
        <v>1.2368712143418021E-2</v>
      </c>
      <c r="E41" s="53"/>
    </row>
    <row r="42" spans="1:7" ht="15.75" customHeight="1" x14ac:dyDescent="0.3">
      <c r="C42" s="95">
        <v>458.84</v>
      </c>
      <c r="D42" s="88">
        <f t="shared" si="0"/>
        <v>-1.8290973899685349E-2</v>
      </c>
      <c r="E42" s="53"/>
    </row>
    <row r="43" spans="1:7" ht="16.5" customHeight="1" x14ac:dyDescent="0.3">
      <c r="C43" s="96">
        <v>456.1</v>
      </c>
      <c r="D43" s="89">
        <f t="shared" si="0"/>
        <v>-2.4153328383851539E-2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9347.7800000000007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467.38900000000001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467.38900000000001</v>
      </c>
      <c r="C49" s="93">
        <f>-IF(C46&lt;=80,10%,IF(C46&lt;250,7.5%,5%))</f>
        <v>-0.05</v>
      </c>
      <c r="D49" s="81">
        <f>IF(C46&lt;=80,C46*0.9,IF(C46&lt;250,C46*0.925,C46*0.95))</f>
        <v>444.01954999999998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490.75845000000004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16" zoomScale="46" zoomScaleNormal="40" zoomScalePageLayoutView="46" workbookViewId="0">
      <selection activeCell="E146" sqref="E14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9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43143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131</v>
      </c>
      <c r="C26" s="298"/>
    </row>
    <row r="27" spans="1:14" ht="26.25" customHeight="1" x14ac:dyDescent="0.4">
      <c r="A27" s="109" t="s">
        <v>48</v>
      </c>
      <c r="B27" s="304" t="s">
        <v>132</v>
      </c>
      <c r="C27" s="304"/>
    </row>
    <row r="28" spans="1:14" ht="27" customHeight="1" x14ac:dyDescent="0.4">
      <c r="A28" s="109" t="s">
        <v>6</v>
      </c>
      <c r="B28" s="110">
        <v>99.4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5890864</v>
      </c>
      <c r="E38" s="133">
        <f>IF(ISBLANK(D38),"-",$D$48/$D$45*D38)</f>
        <v>5838839.9361687368</v>
      </c>
      <c r="F38" s="132">
        <v>5944903</v>
      </c>
      <c r="G38" s="134">
        <f>IF(ISBLANK(F38),"-",$D$48/$F$45*F38)</f>
        <v>5747993.9705508398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5914726</v>
      </c>
      <c r="E39" s="138">
        <f>IF(ISBLANK(D39),"-",$D$48/$D$45*D39)</f>
        <v>5862491.2033779025</v>
      </c>
      <c r="F39" s="137">
        <v>5962861</v>
      </c>
      <c r="G39" s="139">
        <f>IF(ISBLANK(F39),"-",$D$48/$F$45*F39)</f>
        <v>5765357.1597775016</v>
      </c>
      <c r="I39" s="315">
        <f>ABS((F43/D43*D42)-F42)/D42</f>
        <v>1.5654305057774577E-2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5904696</v>
      </c>
      <c r="E40" s="138">
        <f>IF(ISBLANK(D40),"-",$D$48/$D$45*D40)</f>
        <v>5852549.7814473044</v>
      </c>
      <c r="F40" s="137">
        <v>5970218</v>
      </c>
      <c r="G40" s="139">
        <f>IF(ISBLANK(F40),"-",$D$48/$F$45*F40)</f>
        <v>5772470.4788074913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5903428.666666667</v>
      </c>
      <c r="E42" s="148">
        <f>AVERAGE(E38:E41)</f>
        <v>5851293.6403313158</v>
      </c>
      <c r="F42" s="147">
        <f>AVERAGE(F38:F41)</f>
        <v>5959327.333333333</v>
      </c>
      <c r="G42" s="149">
        <f>AVERAGE(G38:G41)</f>
        <v>5761940.5363786109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20.3</v>
      </c>
      <c r="E43" s="140"/>
      <c r="F43" s="152">
        <v>20.81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20.3</v>
      </c>
      <c r="E44" s="155"/>
      <c r="F44" s="154">
        <f>F43*$B$34</f>
        <v>20.81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20.1782</v>
      </c>
      <c r="E45" s="158"/>
      <c r="F45" s="157">
        <f>F44*$B$30/100</f>
        <v>20.685140000000001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0.20178200000000002</v>
      </c>
      <c r="E46" s="160"/>
      <c r="F46" s="161">
        <f>F45/$B$45</f>
        <v>0.20685140000000002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5806617.0883549638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8.6366883648394278E-3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Fluconazole USP 200 mg.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>Fluconazole USP</v>
      </c>
      <c r="H56" s="179"/>
    </row>
    <row r="57" spans="1:12" ht="18.75" x14ac:dyDescent="0.3">
      <c r="A57" s="176" t="s">
        <v>88</v>
      </c>
      <c r="B57" s="247">
        <f>Uniformity!C46</f>
        <v>467.38900000000001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20" t="s">
        <v>94</v>
      </c>
      <c r="D60" s="323">
        <v>464.36</v>
      </c>
      <c r="E60" s="182">
        <v>1</v>
      </c>
      <c r="F60" s="183">
        <v>5773559</v>
      </c>
      <c r="G60" s="248">
        <f>IF(ISBLANK(F60),"-",(F60/$D$50*$D$47*$B$68)*($B$57/$D$60))</f>
        <v>200.15852896043563</v>
      </c>
      <c r="H60" s="266">
        <f t="shared" ref="H60:H71" si="0">IF(ISBLANK(F60),"-",(G60/$B$56)*100)</f>
        <v>100.07926448021782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21"/>
      <c r="D61" s="324"/>
      <c r="E61" s="184">
        <v>2</v>
      </c>
      <c r="F61" s="137">
        <v>5780817</v>
      </c>
      <c r="G61" s="249">
        <f>IF(ISBLANK(F61),"-",(F61/$D$50*$D$47*$B$68)*($B$57/$D$60))</f>
        <v>200.41015029195657</v>
      </c>
      <c r="H61" s="267">
        <f t="shared" si="0"/>
        <v>100.2050751459783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5768905</v>
      </c>
      <c r="G62" s="249">
        <f>IF(ISBLANK(F62),"-",(F62/$D$50*$D$47*$B$68)*($B$57/$D$60))</f>
        <v>199.99718345521401</v>
      </c>
      <c r="H62" s="267">
        <f t="shared" si="0"/>
        <v>99.998591727607007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466.85</v>
      </c>
      <c r="E64" s="182">
        <v>1</v>
      </c>
      <c r="F64" s="183">
        <v>5778487</v>
      </c>
      <c r="G64" s="248">
        <f>IF(ISBLANK(F64),"-",(F64/$D$50*$D$47*$B$68)*($B$57/$D$64))</f>
        <v>199.26089299493114</v>
      </c>
      <c r="H64" s="266">
        <f t="shared" si="0"/>
        <v>99.63044649746557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5759009</v>
      </c>
      <c r="G65" s="249">
        <f>IF(ISBLANK(F65),"-",(F65/$D$50*$D$47*$B$68)*($B$57/$D$64))</f>
        <v>198.58922865204082</v>
      </c>
      <c r="H65" s="267">
        <f t="shared" si="0"/>
        <v>99.294614326020408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5754991</v>
      </c>
      <c r="G66" s="249">
        <f>IF(ISBLANK(F66),"-",(F66/$D$50*$D$47*$B$68)*($B$57/$D$64))</f>
        <v>198.45067503618023</v>
      </c>
      <c r="H66" s="267">
        <f t="shared" si="0"/>
        <v>99.225337518090114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320" t="s">
        <v>104</v>
      </c>
      <c r="D68" s="323">
        <v>467.86</v>
      </c>
      <c r="E68" s="182">
        <v>1</v>
      </c>
      <c r="F68" s="183">
        <v>5764792</v>
      </c>
      <c r="G68" s="248">
        <f>IF(ISBLANK(F68),"-",(F68/$D$50*$D$47*$B$68)*($B$57/$D$68))</f>
        <v>198.35950711026987</v>
      </c>
      <c r="H68" s="267">
        <f t="shared" si="0"/>
        <v>99.179753555134937</v>
      </c>
    </row>
    <row r="69" spans="1:8" ht="27" customHeight="1" x14ac:dyDescent="0.4">
      <c r="A69" s="172" t="s">
        <v>105</v>
      </c>
      <c r="B69" s="189">
        <f>(D47*B68)/B56*B57</f>
        <v>467.38900000000001</v>
      </c>
      <c r="C69" s="321"/>
      <c r="D69" s="324"/>
      <c r="E69" s="184">
        <v>2</v>
      </c>
      <c r="F69" s="137">
        <v>5784825</v>
      </c>
      <c r="G69" s="249">
        <f>IF(ISBLANK(F69),"-",(F69/$D$50*$D$47*$B$68)*($B$57/$D$68))</f>
        <v>199.04881836485461</v>
      </c>
      <c r="H69" s="267">
        <f t="shared" si="0"/>
        <v>99.524409182427306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5778781</v>
      </c>
      <c r="G70" s="249">
        <f>IF(ISBLANK(F70),"-",(F70/$D$50*$D$47*$B$68)*($B$57/$D$68))</f>
        <v>198.84085164880062</v>
      </c>
      <c r="H70" s="267">
        <f t="shared" si="0"/>
        <v>99.420425824400311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199.23509294607595</v>
      </c>
      <c r="H72" s="269">
        <f>AVERAGE(H60:H71)</f>
        <v>99.617546473037976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3.8895404058427413E-3</v>
      </c>
      <c r="H73" s="253">
        <f>STDEV(H60:H71)/H72</f>
        <v>3.8895404058427686E-3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FLUCONAZOLE</v>
      </c>
      <c r="D76" s="328"/>
      <c r="E76" s="198" t="s">
        <v>108</v>
      </c>
      <c r="F76" s="198"/>
      <c r="G76" s="285">
        <f>H72</f>
        <v>99.617546473037976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FLUCONAZOLE</v>
      </c>
      <c r="C79" s="314"/>
    </row>
    <row r="80" spans="1:8" ht="26.25" customHeight="1" x14ac:dyDescent="0.4">
      <c r="A80" s="109" t="s">
        <v>48</v>
      </c>
      <c r="B80" s="314" t="str">
        <f>B27</f>
        <v>F1-10</v>
      </c>
      <c r="C80" s="314"/>
    </row>
    <row r="81" spans="1:12" ht="27" customHeight="1" x14ac:dyDescent="0.4">
      <c r="A81" s="109" t="s">
        <v>6</v>
      </c>
      <c r="B81" s="201">
        <f>B28</f>
        <v>99.4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5890864</v>
      </c>
      <c r="E91" s="133">
        <f>IF(ISBLANK(D91),"-",$D$101/$D$98*D91)</f>
        <v>6487599.9290763745</v>
      </c>
      <c r="F91" s="132">
        <v>5944903</v>
      </c>
      <c r="G91" s="134">
        <f>IF(ISBLANK(F91),"-",$D$101/$F$98*F91)</f>
        <v>6386659.9672787096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5914726</v>
      </c>
      <c r="E92" s="138">
        <f>IF(ISBLANK(D92),"-",$D$101/$D$98*D92)</f>
        <v>6513879.1148643363</v>
      </c>
      <c r="F92" s="137">
        <v>5962861</v>
      </c>
      <c r="G92" s="139">
        <f>IF(ISBLANK(F92),"-",$D$101/$F$98*F92)</f>
        <v>6405952.3997527789</v>
      </c>
      <c r="I92" s="315">
        <f>ABS((F96/D96*D95)-F95)/D95</f>
        <v>1.5654305057774577E-2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5904696</v>
      </c>
      <c r="E93" s="138">
        <f>IF(ISBLANK(D93),"-",$D$101/$D$98*D93)</f>
        <v>6502833.0904970048</v>
      </c>
      <c r="F93" s="137">
        <v>5970218</v>
      </c>
      <c r="G93" s="139">
        <f>IF(ISBLANK(F93),"-",$D$101/$F$98*F93)</f>
        <v>6413856.0875638789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5903428.666666667</v>
      </c>
      <c r="E95" s="148">
        <f>AVERAGE(E91:E94)</f>
        <v>6501437.3781459061</v>
      </c>
      <c r="F95" s="211">
        <f>AVERAGE(F91:F94)</f>
        <v>5959327.333333333</v>
      </c>
      <c r="G95" s="212">
        <f>AVERAGE(G91:G94)</f>
        <v>6402156.1515317895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20.3</v>
      </c>
      <c r="E96" s="140"/>
      <c r="F96" s="152">
        <v>20.81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20.3</v>
      </c>
      <c r="E97" s="155"/>
      <c r="F97" s="154">
        <f>F96*$B$87</f>
        <v>20.81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20.1782</v>
      </c>
      <c r="E98" s="158"/>
      <c r="F98" s="157">
        <f>F97*$B$83/100</f>
        <v>20.685140000000001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0.20178200000000002</v>
      </c>
      <c r="E99" s="158"/>
      <c r="F99" s="161">
        <f>F98/$B$98</f>
        <v>0.20685140000000002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0.22222222222222221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22.222222222222221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6451796.7648388483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8.6366883648395041E-3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6179959</v>
      </c>
      <c r="E108" s="250">
        <f t="shared" ref="E108:E113" si="1">IF(ISBLANK(D108),"-",D108/$D$103*$D$100*$B$116)</f>
        <v>191.57326943959808</v>
      </c>
      <c r="F108" s="277">
        <f t="shared" ref="F108:F113" si="2">IF(ISBLANK(D108), "-", (E108/$B$56)*100)</f>
        <v>95.786634719799039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6174155</v>
      </c>
      <c r="E109" s="251">
        <f t="shared" si="1"/>
        <v>191.39335056702507</v>
      </c>
      <c r="F109" s="278">
        <f t="shared" si="2"/>
        <v>95.696675283512533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6195996</v>
      </c>
      <c r="E110" s="251">
        <f t="shared" si="1"/>
        <v>192.07040227203319</v>
      </c>
      <c r="F110" s="278">
        <f t="shared" si="2"/>
        <v>96.035201136016596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6184110</v>
      </c>
      <c r="E111" s="251">
        <f t="shared" si="1"/>
        <v>191.70194677248068</v>
      </c>
      <c r="F111" s="278">
        <f t="shared" si="2"/>
        <v>95.850973386240341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6160128</v>
      </c>
      <c r="E112" s="251">
        <f t="shared" si="1"/>
        <v>190.9585259588959</v>
      </c>
      <c r="F112" s="278">
        <f t="shared" si="2"/>
        <v>95.479262979447952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6155346</v>
      </c>
      <c r="E113" s="252">
        <f t="shared" si="1"/>
        <v>190.81028818345757</v>
      </c>
      <c r="F113" s="279">
        <f t="shared" si="2"/>
        <v>95.405144091728786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191.41796386558175</v>
      </c>
      <c r="F115" s="281">
        <f>AVERAGE(F108:F113)</f>
        <v>95.708981932790877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2.4630183285600611E-3</v>
      </c>
      <c r="F116" s="235">
        <f>STDEV(F108:F113)/F115</f>
        <v>2.4630183285600611E-3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190.81028818345757</v>
      </c>
      <c r="F119" s="282">
        <f>MIN(F108:F113)</f>
        <v>95.405144091728786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192.07040227203319</v>
      </c>
      <c r="F120" s="283">
        <f>MAX(F108:F113)</f>
        <v>96.035201136016596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FLUCONAZOLE</v>
      </c>
      <c r="D124" s="328"/>
      <c r="E124" s="198" t="s">
        <v>127</v>
      </c>
      <c r="F124" s="198"/>
      <c r="G124" s="284">
        <f>F115</f>
        <v>95.708981932790877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95.405144091728786</v>
      </c>
      <c r="E125" s="209" t="s">
        <v>130</v>
      </c>
      <c r="F125" s="284">
        <f>MAX(F108:F113)</f>
        <v>96.035201136016596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Fluconazole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2018-02-12T06:50:42Z</cp:lastPrinted>
  <dcterms:created xsi:type="dcterms:W3CDTF">2005-07-05T10:19:27Z</dcterms:created>
  <dcterms:modified xsi:type="dcterms:W3CDTF">2018-02-12T07:32:15Z</dcterms:modified>
</cp:coreProperties>
</file>