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9405" activeTab="4"/>
  </bookViews>
  <sheets>
    <sheet name="Sulfamethoxazole SST" sheetId="5" r:id="rId1"/>
    <sheet name="Trimethoprim SST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Sulfamethoxazole!$A$1:$I$131</definedName>
    <definedName name="_xlnm.Print_Area" localSheetId="0">'Sulfamethoxazole SST'!$A$15:$G$62</definedName>
    <definedName name="_xlnm.Print_Area" localSheetId="4">Trimethoprim!$A$1:$I$131</definedName>
    <definedName name="_xlnm.Print_Area" localSheetId="1">'Trimethoprim SST'!$A$15:$G$62</definedName>
    <definedName name="_xlnm.Print_Area" localSheetId="2">Uniformity!$A$11:$I$57</definedName>
  </definedNames>
  <calcPr calcId="145621"/>
</workbook>
</file>

<file path=xl/calcChain.xml><?xml version="1.0" encoding="utf-8"?>
<calcChain xmlns="http://schemas.openxmlformats.org/spreadsheetml/2006/main">
  <c r="F51" i="5" l="1"/>
  <c r="F30" i="5" l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4"/>
  <c r="I39" i="4"/>
  <c r="D49" i="4"/>
  <c r="F44" i="4"/>
  <c r="F45" i="4" s="1"/>
  <c r="D45" i="4"/>
  <c r="D46" i="4" s="1"/>
  <c r="F98" i="4"/>
  <c r="F99" i="4" s="1"/>
  <c r="I92" i="3"/>
  <c r="D101" i="3"/>
  <c r="D102" i="3" s="1"/>
  <c r="I39" i="3"/>
  <c r="F44" i="3"/>
  <c r="F45" i="3" s="1"/>
  <c r="D49" i="3"/>
  <c r="D45" i="3"/>
  <c r="E38" i="3" s="1"/>
  <c r="B69" i="3"/>
  <c r="G91" i="3"/>
  <c r="G92" i="3"/>
  <c r="F98" i="3"/>
  <c r="F99" i="3" s="1"/>
  <c r="E41" i="4"/>
  <c r="E38" i="4"/>
  <c r="B69" i="4"/>
  <c r="D102" i="4"/>
  <c r="D97" i="4"/>
  <c r="D98" i="4" s="1"/>
  <c r="D99" i="4" s="1"/>
  <c r="D24" i="2"/>
  <c r="D28" i="2"/>
  <c r="D32" i="2"/>
  <c r="D36" i="2"/>
  <c r="D40" i="2"/>
  <c r="D49" i="2"/>
  <c r="B57" i="3"/>
  <c r="C50" i="2"/>
  <c r="D97" i="3"/>
  <c r="D98" i="3" s="1"/>
  <c r="D99" i="3" s="1"/>
  <c r="D26" i="2"/>
  <c r="D30" i="2"/>
  <c r="D34" i="2"/>
  <c r="D38" i="2"/>
  <c r="D42" i="2"/>
  <c r="B49" i="2"/>
  <c r="D50" i="2"/>
  <c r="G92" i="4" l="1"/>
  <c r="G91" i="4"/>
  <c r="G95" i="4" s="1"/>
  <c r="G94" i="4"/>
  <c r="G93" i="4"/>
  <c r="E92" i="4"/>
  <c r="E94" i="4"/>
  <c r="F46" i="4"/>
  <c r="G38" i="4"/>
  <c r="E40" i="4"/>
  <c r="G39" i="4"/>
  <c r="E39" i="4"/>
  <c r="G40" i="4"/>
  <c r="G41" i="4"/>
  <c r="E93" i="4"/>
  <c r="G38" i="3"/>
  <c r="G39" i="3"/>
  <c r="F46" i="3"/>
  <c r="E41" i="3"/>
  <c r="E39" i="3"/>
  <c r="E40" i="3"/>
  <c r="D46" i="3"/>
  <c r="G41" i="3"/>
  <c r="G40" i="3"/>
  <c r="E94" i="3"/>
  <c r="E93" i="3"/>
  <c r="E91" i="4"/>
  <c r="E91" i="3"/>
  <c r="E92" i="3"/>
  <c r="G94" i="3"/>
  <c r="G93" i="3"/>
  <c r="G42" i="4" l="1"/>
  <c r="D50" i="4"/>
  <c r="G70" i="4" s="1"/>
  <c r="H70" i="4" s="1"/>
  <c r="E42" i="4"/>
  <c r="D52" i="4"/>
  <c r="G95" i="3"/>
  <c r="D50" i="3"/>
  <c r="G71" i="3" s="1"/>
  <c r="H71" i="3" s="1"/>
  <c r="G42" i="3"/>
  <c r="E42" i="3"/>
  <c r="D52" i="3"/>
  <c r="E95" i="3"/>
  <c r="D105" i="3"/>
  <c r="D103" i="3"/>
  <c r="D103" i="4"/>
  <c r="E95" i="4"/>
  <c r="D105" i="4"/>
  <c r="G68" i="3"/>
  <c r="H68" i="3" s="1"/>
  <c r="G69" i="3"/>
  <c r="H69" i="3" s="1"/>
  <c r="G66" i="3"/>
  <c r="H66" i="3" s="1"/>
  <c r="G64" i="3"/>
  <c r="H64" i="3" s="1"/>
  <c r="G60" i="3"/>
  <c r="D51" i="3"/>
  <c r="G70" i="3"/>
  <c r="H70" i="3" s="1"/>
  <c r="G65" i="3"/>
  <c r="H65" i="3" s="1"/>
  <c r="G63" i="3"/>
  <c r="H63" i="3" s="1"/>
  <c r="G61" i="3"/>
  <c r="H61" i="3" s="1"/>
  <c r="G61" i="4"/>
  <c r="H61" i="4" s="1"/>
  <c r="G66" i="4"/>
  <c r="H66" i="4" s="1"/>
  <c r="D51" i="4" l="1"/>
  <c r="G64" i="4"/>
  <c r="H64" i="4" s="1"/>
  <c r="G67" i="4"/>
  <c r="H67" i="4" s="1"/>
  <c r="G68" i="4"/>
  <c r="H68" i="4" s="1"/>
  <c r="G63" i="4"/>
  <c r="H63" i="4" s="1"/>
  <c r="G60" i="4"/>
  <c r="H60" i="4" s="1"/>
  <c r="G69" i="4"/>
  <c r="H69" i="4" s="1"/>
  <c r="G62" i="4"/>
  <c r="H62" i="4" s="1"/>
  <c r="G71" i="4"/>
  <c r="H71" i="4" s="1"/>
  <c r="G65" i="4"/>
  <c r="H65" i="4" s="1"/>
  <c r="G67" i="3"/>
  <c r="H67" i="3" s="1"/>
  <c r="G62" i="3"/>
  <c r="H62" i="3" s="1"/>
  <c r="H60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4" i="3"/>
  <c r="G72" i="3"/>
  <c r="G73" i="3" s="1"/>
  <c r="H74" i="4"/>
  <c r="H72" i="4"/>
  <c r="E120" i="4"/>
  <c r="E117" i="4"/>
  <c r="F108" i="4"/>
  <c r="E115" i="4"/>
  <c r="E116" i="4" s="1"/>
  <c r="E119" i="4"/>
  <c r="H74" i="3"/>
  <c r="H72" i="3"/>
  <c r="E115" i="3"/>
  <c r="E116" i="3" s="1"/>
  <c r="E119" i="3"/>
  <c r="E120" i="3"/>
  <c r="E117" i="3"/>
  <c r="F108" i="3"/>
  <c r="F119" i="3" l="1"/>
  <c r="F125" i="3"/>
  <c r="F120" i="3"/>
  <c r="F117" i="3"/>
  <c r="D125" i="3"/>
  <c r="F115" i="3"/>
  <c r="G76" i="4"/>
  <c r="H73" i="4"/>
  <c r="G76" i="3"/>
  <c r="H73" i="3"/>
  <c r="F125" i="4"/>
  <c r="F120" i="4"/>
  <c r="F117" i="4"/>
  <c r="D125" i="4"/>
  <c r="F115" i="4"/>
  <c r="F119" i="4"/>
  <c r="G124" i="4" l="1"/>
  <c r="F116" i="4"/>
  <c r="G124" i="3"/>
  <c r="F116" i="3"/>
</calcChain>
</file>

<file path=xl/sharedStrings.xml><?xml version="1.0" encoding="utf-8"?>
<sst xmlns="http://schemas.openxmlformats.org/spreadsheetml/2006/main" count="456" uniqueCount="139">
  <si>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</si>
  <si>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</si>
  <si>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</si>
  <si>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</si>
  <si>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</si>
  <si>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</si>
  <si>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</si>
  <si>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NDQB201802323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</si>
  <si>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</si>
  <si>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</si>
  <si>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</si>
  <si>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</si>
  <si>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2018-02-06 16:02:47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</si>
  <si>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</si>
  <si>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</si>
  <si>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</si>
  <si>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</si>
  <si>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</si>
  <si>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</si>
  <si>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</si>
  <si>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</si>
  <si>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</si>
  <si>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</si>
  <si>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</si>
  <si>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</si>
  <si>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</si>
  <si>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</si>
  <si>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</si>
  <si>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</si>
  <si>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</si>
  <si>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</si>
  <si>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</si>
  <si>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</si>
  <si>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</si>
  <si>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</si>
  <si>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</si>
  <si>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</si>
  <si>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</si>
  <si>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</si>
  <si>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</si>
  <si>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</si>
  <si>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</si>
  <si>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</si>
  <si>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</si>
  <si>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</si>
  <si>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</si>
  <si>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</si>
  <si>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</si>
  <si>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</si>
  <si>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</si>
  <si>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</si>
  <si>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</si>
  <si>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</si>
  <si>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</si>
  <si>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</si>
  <si>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</si>
  <si>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</si>
  <si>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</si>
  <si>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</si>
  <si>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</si>
  <si>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</si>
  <si>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</si>
  <si>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</si>
  <si>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</si>
  <si>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</si>
  <si>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</si>
  <si>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</si>
  <si>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</si>
  <si>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</si>
  <si>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</si>
  <si>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</si>
  <si>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</si>
  <si>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</si>
  <si>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</si>
  <si>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</si>
  <si>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</si>
  <si>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</si>
  <si>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</si>
  <si>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</si>
  <si>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</si>
  <si>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</si>
  <si>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</si>
  <si>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</si>
  <si>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</si>
  <si>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</si>
  <si>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</si>
  <si>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</si>
  <si>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</si>
  <si>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</si>
  <si>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</si>
  <si>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</si>
  <si>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</si>
  <si>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</si>
  <si>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</si>
  <si>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</si>
  <si>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</si>
  <si>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</si>
  <si>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</si>
  <si>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</si>
  <si>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</si>
  <si>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</si>
  <si>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</si>
  <si>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</si>
  <si>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</si>
  <si>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</si>
  <si>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</si>
  <si>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</si>
  <si>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</si>
  <si>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</si>
  <si>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</si>
  <si>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</si>
  <si>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</si>
  <si>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</si>
  <si>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</si>
  <si>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</si>
  <si>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</si>
  <si>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</si>
  <si>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</si>
  <si>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</si>
  <si>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</si>
  <si>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</si>
  <si>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</si>
  <si>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</si>
  <si>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</si>
  <si>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</si>
  <si>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</si>
  <si>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</si>
  <si>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</si>
  <si>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</si>
  <si>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</si>
  <si>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</si>
  <si>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</si>
  <si>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RESOLUTION</t>
  </si>
  <si>
    <r>
      <t xml:space="preserve">The Resolution between Trimethoprim and Sulfamethoxazole peaks should not be </t>
    </r>
    <r>
      <rPr>
        <b/>
        <sz val="12"/>
        <color indexed="8"/>
        <rFont val="Book Antiqua"/>
        <family val="1"/>
      </rPr>
      <t>less than 5.0</t>
    </r>
    <r>
      <rPr>
        <sz val="12"/>
        <color indexed="8"/>
        <rFont val="Book Antiqua"/>
        <family val="1"/>
      </rPr>
      <t xml:space="preserve"> </t>
    </r>
  </si>
  <si>
    <t>SULFAMETHOXAZOLE</t>
  </si>
  <si>
    <t>Sulfamethoxazole</t>
  </si>
  <si>
    <t>S12-6</t>
  </si>
  <si>
    <t>Trimethoprim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</si>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</sst>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2"/>
      <color indexed="8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2" applyFont="1" applyFill="1"/>
    <xf numFmtId="0" fontId="6" fillId="2" borderId="0" xfId="2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90" t="s">
        <v>1</v>
      </c>
      <c r="B16" s="59" t="s">
        <v>2</v>
      </c>
    </row>
    <row r="17" spans="1:7" ht="16.5" customHeight="1" x14ac:dyDescent="0.3">
      <c r="A17" s="8" t="s">
        <v>3</v>
      </c>
      <c r="B17" s="8" t="s">
        <v>5</v>
      </c>
      <c r="D17" s="9"/>
      <c r="E17" s="72"/>
    </row>
    <row r="18" spans="1:7" ht="16.5" customHeight="1" x14ac:dyDescent="0.3">
      <c r="A18" s="75" t="s">
        <v>4</v>
      </c>
      <c r="B18" s="8" t="s">
        <v>134</v>
      </c>
      <c r="C18" s="72"/>
      <c r="D18" s="72"/>
      <c r="E18" s="72"/>
    </row>
    <row r="19" spans="1:7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7" ht="16.5" customHeight="1" x14ac:dyDescent="0.3">
      <c r="A20" s="8" t="s">
        <v>8</v>
      </c>
      <c r="B20" s="12">
        <v>16.010000000000002</v>
      </c>
      <c r="C20" s="72"/>
      <c r="D20" s="72"/>
      <c r="E20" s="72"/>
    </row>
    <row r="21" spans="1:7" ht="16.5" customHeight="1" x14ac:dyDescent="0.3">
      <c r="A21" s="8" t="s">
        <v>10</v>
      </c>
      <c r="B21" s="13">
        <v>0.16</v>
      </c>
      <c r="C21" s="72"/>
      <c r="D21" s="72"/>
      <c r="E21" s="72"/>
    </row>
    <row r="22" spans="1:7" ht="15.75" customHeight="1" x14ac:dyDescent="0.25">
      <c r="A22" s="72"/>
      <c r="B22" s="72"/>
      <c r="C22" s="72"/>
      <c r="D22" s="72"/>
      <c r="E22" s="72"/>
    </row>
    <row r="23" spans="1:7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132</v>
      </c>
      <c r="G23" s="475"/>
    </row>
    <row r="24" spans="1:7" ht="16.5" customHeight="1" x14ac:dyDescent="0.3">
      <c r="A24" s="17">
        <v>1</v>
      </c>
      <c r="B24" s="18">
        <v>37378497</v>
      </c>
      <c r="C24" s="18">
        <v>7393.29</v>
      </c>
      <c r="D24" s="19">
        <v>1.23</v>
      </c>
      <c r="E24" s="20">
        <v>10.66</v>
      </c>
      <c r="F24" s="20">
        <v>15.41</v>
      </c>
      <c r="G24" s="338"/>
    </row>
    <row r="25" spans="1:7" ht="16.5" customHeight="1" x14ac:dyDescent="0.3">
      <c r="A25" s="17">
        <v>2</v>
      </c>
      <c r="B25" s="18">
        <v>37507183</v>
      </c>
      <c r="C25" s="18">
        <v>7348.34</v>
      </c>
      <c r="D25" s="19">
        <v>1.23</v>
      </c>
      <c r="E25" s="19">
        <v>10.67</v>
      </c>
      <c r="F25" s="19">
        <v>15.37</v>
      </c>
      <c r="G25" s="338"/>
    </row>
    <row r="26" spans="1:7" ht="16.5" customHeight="1" x14ac:dyDescent="0.3">
      <c r="A26" s="17">
        <v>3</v>
      </c>
      <c r="B26" s="18">
        <v>37440210</v>
      </c>
      <c r="C26" s="18">
        <v>7358.74</v>
      </c>
      <c r="D26" s="19">
        <v>1.23</v>
      </c>
      <c r="E26" s="19">
        <v>10.67</v>
      </c>
      <c r="F26" s="19">
        <v>15.36</v>
      </c>
      <c r="G26" s="338"/>
    </row>
    <row r="27" spans="1:7" ht="16.5" customHeight="1" x14ac:dyDescent="0.3">
      <c r="A27" s="17">
        <v>4</v>
      </c>
      <c r="B27" s="18">
        <v>37471120</v>
      </c>
      <c r="C27" s="18">
        <v>7363.99</v>
      </c>
      <c r="D27" s="19">
        <v>1.22</v>
      </c>
      <c r="E27" s="19">
        <v>10.67</v>
      </c>
      <c r="F27" s="19">
        <v>15.37</v>
      </c>
      <c r="G27" s="338"/>
    </row>
    <row r="28" spans="1:7" ht="16.5" customHeight="1" x14ac:dyDescent="0.3">
      <c r="A28" s="17">
        <v>5</v>
      </c>
      <c r="B28" s="18">
        <v>37223552</v>
      </c>
      <c r="C28" s="18">
        <v>7357.34</v>
      </c>
      <c r="D28" s="19">
        <v>1.24</v>
      </c>
      <c r="E28" s="19">
        <v>10.67</v>
      </c>
      <c r="F28" s="19">
        <v>15.36</v>
      </c>
      <c r="G28" s="338"/>
    </row>
    <row r="29" spans="1:7" ht="16.5" customHeight="1" x14ac:dyDescent="0.3">
      <c r="A29" s="17">
        <v>6</v>
      </c>
      <c r="B29" s="21">
        <v>37441567</v>
      </c>
      <c r="C29" s="21">
        <v>7368.22</v>
      </c>
      <c r="D29" s="22">
        <v>1.23</v>
      </c>
      <c r="E29" s="22">
        <v>10.68</v>
      </c>
      <c r="F29" s="22">
        <v>15.37</v>
      </c>
      <c r="G29" s="338"/>
    </row>
    <row r="30" spans="1:7" ht="16.5" customHeight="1" x14ac:dyDescent="0.3">
      <c r="A30" s="23" t="s">
        <v>18</v>
      </c>
      <c r="B30" s="24">
        <f>AVERAGE(B24:B29)</f>
        <v>37410354.833333336</v>
      </c>
      <c r="C30" s="25">
        <f>AVERAGE(C24:C29)</f>
        <v>7364.9866666666667</v>
      </c>
      <c r="D30" s="26">
        <f>AVERAGE(D24:D29)</f>
        <v>1.2300000000000002</v>
      </c>
      <c r="E30" s="26">
        <f>AVERAGE(E24:E29)</f>
        <v>10.670000000000002</v>
      </c>
      <c r="F30" s="26">
        <f>AVERAGE(F24:F29)</f>
        <v>15.373333333333335</v>
      </c>
      <c r="G30" s="475"/>
    </row>
    <row r="31" spans="1:7" ht="16.5" customHeight="1" x14ac:dyDescent="0.3">
      <c r="A31" s="27" t="s">
        <v>19</v>
      </c>
      <c r="B31" s="28">
        <f>(STDEV(B24:B29)/B30)</f>
        <v>2.6955189150006278E-3</v>
      </c>
      <c r="C31" s="29"/>
      <c r="D31" s="29"/>
      <c r="E31" s="30"/>
    </row>
    <row r="32" spans="1:7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408" customFormat="1" ht="15.75" customHeight="1" x14ac:dyDescent="0.25">
      <c r="A33" s="72"/>
      <c r="B33" s="72"/>
      <c r="C33" s="72"/>
      <c r="D33" s="72"/>
      <c r="E33" s="72"/>
    </row>
    <row r="34" spans="1:6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40" t="s">
        <v>23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3">
      <c r="A37" s="72"/>
      <c r="B37" s="476" t="s">
        <v>133</v>
      </c>
      <c r="C37" s="72"/>
      <c r="D37" s="72"/>
      <c r="E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6" ht="16.5" customHeight="1" x14ac:dyDescent="0.3">
      <c r="A40" s="75" t="s">
        <v>6</v>
      </c>
      <c r="B40" s="12">
        <v>99.02</v>
      </c>
      <c r="C40" s="72"/>
      <c r="D40" s="72"/>
      <c r="E40" s="72"/>
    </row>
    <row r="41" spans="1:6" ht="16.5" customHeight="1" x14ac:dyDescent="0.3">
      <c r="A41" s="8" t="s">
        <v>8</v>
      </c>
      <c r="B41" s="12">
        <v>16.010000000000002</v>
      </c>
      <c r="C41" s="72"/>
      <c r="D41" s="72"/>
      <c r="E41" s="72"/>
    </row>
    <row r="42" spans="1:6" ht="16.5" customHeight="1" x14ac:dyDescent="0.3">
      <c r="A42" s="8" t="s">
        <v>10</v>
      </c>
      <c r="B42" s="13">
        <v>0.16</v>
      </c>
      <c r="C42" s="72"/>
      <c r="D42" s="72"/>
      <c r="E42" s="72"/>
    </row>
    <row r="43" spans="1:6" ht="15.75" customHeight="1" x14ac:dyDescent="0.25">
      <c r="A43" s="72"/>
      <c r="B43" s="72"/>
      <c r="C43" s="72"/>
      <c r="D43" s="72"/>
      <c r="E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132</v>
      </c>
    </row>
    <row r="45" spans="1:6" ht="16.5" customHeight="1" x14ac:dyDescent="0.3">
      <c r="A45" s="17">
        <v>1</v>
      </c>
      <c r="B45" s="18">
        <v>37378497</v>
      </c>
      <c r="C45" s="18">
        <v>7393.29</v>
      </c>
      <c r="D45" s="19">
        <v>1.23</v>
      </c>
      <c r="E45" s="20">
        <v>10.66</v>
      </c>
      <c r="F45" s="20">
        <v>15.41</v>
      </c>
    </row>
    <row r="46" spans="1:6" ht="16.5" customHeight="1" x14ac:dyDescent="0.3">
      <c r="A46" s="17">
        <v>2</v>
      </c>
      <c r="B46" s="18">
        <v>37507183</v>
      </c>
      <c r="C46" s="18">
        <v>7348.34</v>
      </c>
      <c r="D46" s="19">
        <v>1.23</v>
      </c>
      <c r="E46" s="19">
        <v>10.67</v>
      </c>
      <c r="F46" s="19">
        <v>15.37</v>
      </c>
    </row>
    <row r="47" spans="1:6" ht="16.5" customHeight="1" x14ac:dyDescent="0.3">
      <c r="A47" s="17">
        <v>3</v>
      </c>
      <c r="B47" s="18">
        <v>37440210</v>
      </c>
      <c r="C47" s="18">
        <v>7358.74</v>
      </c>
      <c r="D47" s="19">
        <v>1.23</v>
      </c>
      <c r="E47" s="19">
        <v>10.67</v>
      </c>
      <c r="F47" s="19">
        <v>15.36</v>
      </c>
    </row>
    <row r="48" spans="1:6" ht="16.5" customHeight="1" x14ac:dyDescent="0.3">
      <c r="A48" s="17">
        <v>4</v>
      </c>
      <c r="B48" s="18">
        <v>37471120</v>
      </c>
      <c r="C48" s="18">
        <v>7363.99</v>
      </c>
      <c r="D48" s="19">
        <v>1.22</v>
      </c>
      <c r="E48" s="19">
        <v>10.67</v>
      </c>
      <c r="F48" s="19">
        <v>15.37</v>
      </c>
    </row>
    <row r="49" spans="1:7" ht="16.5" customHeight="1" x14ac:dyDescent="0.3">
      <c r="A49" s="17">
        <v>5</v>
      </c>
      <c r="B49" s="18">
        <v>37223552</v>
      </c>
      <c r="C49" s="18">
        <v>7357.34</v>
      </c>
      <c r="D49" s="19">
        <v>1.24</v>
      </c>
      <c r="E49" s="19">
        <v>10.67</v>
      </c>
      <c r="F49" s="19">
        <v>15.36</v>
      </c>
    </row>
    <row r="50" spans="1:7" ht="16.5" customHeight="1" x14ac:dyDescent="0.3">
      <c r="A50" s="17">
        <v>6</v>
      </c>
      <c r="B50" s="21">
        <v>37441567</v>
      </c>
      <c r="C50" s="21">
        <v>7368.22</v>
      </c>
      <c r="D50" s="22">
        <v>1.23</v>
      </c>
      <c r="E50" s="22">
        <v>10.68</v>
      </c>
      <c r="F50" s="22">
        <v>15.37</v>
      </c>
    </row>
    <row r="51" spans="1:7" ht="16.5" customHeight="1" x14ac:dyDescent="0.3">
      <c r="A51" s="23" t="s">
        <v>18</v>
      </c>
      <c r="B51" s="24">
        <f>AVERAGE(B45:B50)</f>
        <v>37410354.833333336</v>
      </c>
      <c r="C51" s="25">
        <f>AVERAGE(C45:C50)</f>
        <v>7364.9866666666667</v>
      </c>
      <c r="D51" s="26">
        <f>AVERAGE(D45:D50)</f>
        <v>1.2300000000000002</v>
      </c>
      <c r="E51" s="26">
        <f>AVERAGE(E45:E50)</f>
        <v>10.670000000000002</v>
      </c>
      <c r="F51" s="26">
        <f>AVERAGE(F45:F50)</f>
        <v>15.373333333333335</v>
      </c>
    </row>
    <row r="52" spans="1:7" ht="16.5" customHeight="1" x14ac:dyDescent="0.3">
      <c r="A52" s="27" t="s">
        <v>19</v>
      </c>
      <c r="B52" s="28">
        <f>(STDEV(B45:B50)/B51)</f>
        <v>2.6955189150006278E-3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477" t="s">
        <v>133</v>
      </c>
      <c r="D58" s="43"/>
      <c r="F58" s="44"/>
      <c r="G58" s="44"/>
    </row>
    <row r="59" spans="1:7" ht="15" customHeight="1" x14ac:dyDescent="0.3">
      <c r="B59" s="479" t="s">
        <v>26</v>
      </c>
      <c r="C59" s="479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19.8</v>
      </c>
      <c r="C20" s="10"/>
      <c r="D20" s="10"/>
      <c r="E20" s="10"/>
    </row>
    <row r="21" spans="1:6" ht="16.5" customHeight="1" x14ac:dyDescent="0.3">
      <c r="A21" s="7" t="s">
        <v>10</v>
      </c>
      <c r="B21" s="13">
        <v>3.2000000000000001E-2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2821353</v>
      </c>
      <c r="C24" s="18">
        <v>5321.44</v>
      </c>
      <c r="D24" s="19">
        <v>1.33</v>
      </c>
      <c r="E24" s="20">
        <v>4.8099999999999996</v>
      </c>
    </row>
    <row r="25" spans="1:6" ht="16.5" customHeight="1" x14ac:dyDescent="0.3">
      <c r="A25" s="17">
        <v>2</v>
      </c>
      <c r="B25" s="18">
        <v>2828408</v>
      </c>
      <c r="C25" s="18">
        <v>5329.98</v>
      </c>
      <c r="D25" s="19">
        <v>1.34</v>
      </c>
      <c r="E25" s="19">
        <v>4.8099999999999996</v>
      </c>
    </row>
    <row r="26" spans="1:6" ht="16.5" customHeight="1" x14ac:dyDescent="0.3">
      <c r="A26" s="17">
        <v>3</v>
      </c>
      <c r="B26" s="18">
        <v>2824856</v>
      </c>
      <c r="C26" s="18">
        <v>5327.25</v>
      </c>
      <c r="D26" s="19">
        <v>1.29</v>
      </c>
      <c r="E26" s="19">
        <v>4.82</v>
      </c>
    </row>
    <row r="27" spans="1:6" ht="16.5" customHeight="1" x14ac:dyDescent="0.3">
      <c r="A27" s="17">
        <v>4</v>
      </c>
      <c r="B27" s="18">
        <v>2826005</v>
      </c>
      <c r="C27" s="18">
        <v>5335.34</v>
      </c>
      <c r="D27" s="19">
        <v>1.33</v>
      </c>
      <c r="E27" s="19">
        <v>4.82</v>
      </c>
    </row>
    <row r="28" spans="1:6" ht="16.5" customHeight="1" x14ac:dyDescent="0.3">
      <c r="A28" s="17">
        <v>5</v>
      </c>
      <c r="B28" s="18">
        <v>2812157</v>
      </c>
      <c r="C28" s="18">
        <v>5352.03</v>
      </c>
      <c r="D28" s="19">
        <v>1.29</v>
      </c>
      <c r="E28" s="19">
        <v>4.82</v>
      </c>
    </row>
    <row r="29" spans="1:6" ht="16.5" customHeight="1" x14ac:dyDescent="0.3">
      <c r="A29" s="17">
        <v>6</v>
      </c>
      <c r="B29" s="21">
        <v>2826128</v>
      </c>
      <c r="C29" s="21">
        <v>5337.33</v>
      </c>
      <c r="D29" s="22">
        <v>1.32</v>
      </c>
      <c r="E29" s="22">
        <v>4.82</v>
      </c>
    </row>
    <row r="30" spans="1:6" ht="16.5" customHeight="1" x14ac:dyDescent="0.3">
      <c r="A30" s="23" t="s">
        <v>18</v>
      </c>
      <c r="B30" s="24">
        <f>AVERAGE(B24:B29)</f>
        <v>2823151.1666666665</v>
      </c>
      <c r="C30" s="25">
        <f>AVERAGE(C24:C29)</f>
        <v>5333.8949999999995</v>
      </c>
      <c r="D30" s="26">
        <f>AVERAGE(D24:D29)</f>
        <v>1.3166666666666667</v>
      </c>
      <c r="E30" s="26">
        <f>AVERAGE(E24:E29)</f>
        <v>4.8166666666666664</v>
      </c>
    </row>
    <row r="31" spans="1:6" ht="16.5" customHeight="1" x14ac:dyDescent="0.3">
      <c r="A31" s="27" t="s">
        <v>19</v>
      </c>
      <c r="B31" s="28">
        <f>(STDEV(B24:B29)/B30)</f>
        <v>2.0754152018626184E-3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99.75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19.8</v>
      </c>
      <c r="C41" s="10"/>
      <c r="D41" s="10"/>
      <c r="E41" s="10"/>
    </row>
    <row r="42" spans="1:6" ht="16.5" customHeight="1" x14ac:dyDescent="0.3">
      <c r="A42" s="7" t="s">
        <v>10</v>
      </c>
      <c r="B42" s="13">
        <v>3.2000000000000001E-2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2821353</v>
      </c>
      <c r="C45" s="18">
        <v>5321.44</v>
      </c>
      <c r="D45" s="19">
        <v>1.33</v>
      </c>
      <c r="E45" s="20">
        <v>4.8099999999999996</v>
      </c>
    </row>
    <row r="46" spans="1:6" ht="16.5" customHeight="1" x14ac:dyDescent="0.3">
      <c r="A46" s="17">
        <v>2</v>
      </c>
      <c r="B46" s="18">
        <v>2828408</v>
      </c>
      <c r="C46" s="18">
        <v>5329.98</v>
      </c>
      <c r="D46" s="19">
        <v>1.34</v>
      </c>
      <c r="E46" s="19">
        <v>4.8099999999999996</v>
      </c>
    </row>
    <row r="47" spans="1:6" ht="16.5" customHeight="1" x14ac:dyDescent="0.3">
      <c r="A47" s="17">
        <v>3</v>
      </c>
      <c r="B47" s="18">
        <v>2824856</v>
      </c>
      <c r="C47" s="18">
        <v>5327.25</v>
      </c>
      <c r="D47" s="19">
        <v>1.29</v>
      </c>
      <c r="E47" s="19">
        <v>4.82</v>
      </c>
    </row>
    <row r="48" spans="1:6" ht="16.5" customHeight="1" x14ac:dyDescent="0.3">
      <c r="A48" s="17">
        <v>4</v>
      </c>
      <c r="B48" s="18">
        <v>2826005</v>
      </c>
      <c r="C48" s="18">
        <v>5335.34</v>
      </c>
      <c r="D48" s="19">
        <v>1.33</v>
      </c>
      <c r="E48" s="19">
        <v>4.82</v>
      </c>
    </row>
    <row r="49" spans="1:7" ht="16.5" customHeight="1" x14ac:dyDescent="0.3">
      <c r="A49" s="17">
        <v>5</v>
      </c>
      <c r="B49" s="18">
        <v>2812157</v>
      </c>
      <c r="C49" s="18">
        <v>5352.03</v>
      </c>
      <c r="D49" s="19">
        <v>1.29</v>
      </c>
      <c r="E49" s="19">
        <v>4.82</v>
      </c>
    </row>
    <row r="50" spans="1:7" ht="16.5" customHeight="1" x14ac:dyDescent="0.3">
      <c r="A50" s="17">
        <v>6</v>
      </c>
      <c r="B50" s="21">
        <v>2826128</v>
      </c>
      <c r="C50" s="21">
        <v>5337.33</v>
      </c>
      <c r="D50" s="22">
        <v>1.32</v>
      </c>
      <c r="E50" s="22">
        <v>4.82</v>
      </c>
    </row>
    <row r="51" spans="1:7" ht="16.5" customHeight="1" x14ac:dyDescent="0.3">
      <c r="A51" s="23" t="s">
        <v>18</v>
      </c>
      <c r="B51" s="24">
        <f>AVERAGE(B45:B50)</f>
        <v>2823151.1666666665</v>
      </c>
      <c r="C51" s="25">
        <f>AVERAGE(C45:C50)</f>
        <v>5333.8949999999995</v>
      </c>
      <c r="D51" s="26">
        <f>AVERAGE(D45:D50)</f>
        <v>1.3166666666666667</v>
      </c>
      <c r="E51" s="26">
        <f>AVERAGE(E45:E50)</f>
        <v>4.8166666666666664</v>
      </c>
    </row>
    <row r="52" spans="1:7" ht="16.5" customHeight="1" x14ac:dyDescent="0.3">
      <c r="A52" s="27" t="s">
        <v>19</v>
      </c>
      <c r="B52" s="28">
        <f>(STDEV(B45:B50)/B51)</f>
        <v>2.0754152018626184E-3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9" t="s">
        <v>26</v>
      </c>
      <c r="C59" s="4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I5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3" t="s">
        <v>31</v>
      </c>
      <c r="B11" s="484"/>
      <c r="C11" s="484"/>
      <c r="D11" s="484"/>
      <c r="E11" s="484"/>
      <c r="F11" s="485"/>
      <c r="G11" s="91"/>
    </row>
    <row r="12" spans="1:7" ht="16.5" customHeight="1" x14ac:dyDescent="0.3">
      <c r="A12" s="482" t="s">
        <v>32</v>
      </c>
      <c r="B12" s="482"/>
      <c r="C12" s="482"/>
      <c r="D12" s="482"/>
      <c r="E12" s="482"/>
      <c r="F12" s="482"/>
      <c r="G12" s="90"/>
    </row>
    <row r="14" spans="1:7" ht="16.5" customHeight="1" x14ac:dyDescent="0.3">
      <c r="A14" s="487" t="s">
        <v>33</v>
      </c>
      <c r="B14" s="487"/>
      <c r="C14" s="60" t="s">
        <v>5</v>
      </c>
    </row>
    <row r="15" spans="1:7" ht="16.5" customHeight="1" x14ac:dyDescent="0.3">
      <c r="A15" s="487" t="s">
        <v>34</v>
      </c>
      <c r="B15" s="487"/>
      <c r="C15" s="60" t="s">
        <v>7</v>
      </c>
    </row>
    <row r="16" spans="1:7" ht="16.5" customHeight="1" x14ac:dyDescent="0.3">
      <c r="A16" s="487" t="s">
        <v>35</v>
      </c>
      <c r="B16" s="487"/>
      <c r="C16" s="60" t="s">
        <v>9</v>
      </c>
    </row>
    <row r="17" spans="1:5" ht="16.5" customHeight="1" x14ac:dyDescent="0.3">
      <c r="A17" s="487" t="s">
        <v>36</v>
      </c>
      <c r="B17" s="487"/>
      <c r="C17" s="60" t="s">
        <v>11</v>
      </c>
    </row>
    <row r="18" spans="1:5" ht="16.5" customHeight="1" x14ac:dyDescent="0.3">
      <c r="A18" s="487" t="s">
        <v>37</v>
      </c>
      <c r="B18" s="487"/>
      <c r="C18" s="97" t="s">
        <v>12</v>
      </c>
    </row>
    <row r="19" spans="1:5" ht="16.5" customHeight="1" x14ac:dyDescent="0.3">
      <c r="A19" s="487" t="s">
        <v>38</v>
      </c>
      <c r="B19" s="48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2" t="s">
        <v>1</v>
      </c>
      <c r="B21" s="482"/>
      <c r="C21" s="59" t="s">
        <v>39</v>
      </c>
      <c r="D21" s="66"/>
    </row>
    <row r="22" spans="1:5" ht="15.75" customHeight="1" x14ac:dyDescent="0.3">
      <c r="A22" s="486"/>
      <c r="B22" s="486"/>
      <c r="C22" s="57"/>
      <c r="D22" s="486"/>
      <c r="E22" s="48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1081.17</v>
      </c>
      <c r="D24" s="87">
        <f t="shared" ref="D24:D43" si="0">(C24-$C$46)/$C$46</f>
        <v>-4.3082885554834947E-4</v>
      </c>
      <c r="E24" s="53"/>
    </row>
    <row r="25" spans="1:5" ht="15.75" customHeight="1" x14ac:dyDescent="0.3">
      <c r="C25" s="95">
        <v>1084.48</v>
      </c>
      <c r="D25" s="88">
        <f t="shared" si="0"/>
        <v>2.6293503544631011E-3</v>
      </c>
      <c r="E25" s="53"/>
    </row>
    <row r="26" spans="1:5" ht="15.75" customHeight="1" x14ac:dyDescent="0.3">
      <c r="C26" s="95">
        <v>1082.5899999999999</v>
      </c>
      <c r="D26" s="88">
        <f t="shared" si="0"/>
        <v>8.8199727080085248E-4</v>
      </c>
      <c r="E26" s="53"/>
    </row>
    <row r="27" spans="1:5" ht="15.75" customHeight="1" x14ac:dyDescent="0.3">
      <c r="C27" s="95">
        <v>1086.05</v>
      </c>
      <c r="D27" s="88">
        <f t="shared" si="0"/>
        <v>4.0808552969760509E-3</v>
      </c>
      <c r="E27" s="53"/>
    </row>
    <row r="28" spans="1:5" ht="15.75" customHeight="1" x14ac:dyDescent="0.3">
      <c r="C28" s="95">
        <v>1082.44</v>
      </c>
      <c r="D28" s="88">
        <f t="shared" si="0"/>
        <v>7.433184546373154E-4</v>
      </c>
      <c r="E28" s="53"/>
    </row>
    <row r="29" spans="1:5" ht="15.75" customHeight="1" x14ac:dyDescent="0.3">
      <c r="C29" s="95">
        <v>1089.03</v>
      </c>
      <c r="D29" s="88">
        <f t="shared" si="0"/>
        <v>6.8359411114275095E-3</v>
      </c>
      <c r="E29" s="53"/>
    </row>
    <row r="30" spans="1:5" ht="15.75" customHeight="1" x14ac:dyDescent="0.3">
      <c r="C30" s="95">
        <v>1087.4100000000001</v>
      </c>
      <c r="D30" s="88">
        <f t="shared" si="0"/>
        <v>5.338209896860048E-3</v>
      </c>
      <c r="E30" s="53"/>
    </row>
    <row r="31" spans="1:5" ht="15.75" customHeight="1" x14ac:dyDescent="0.3">
      <c r="C31" s="95">
        <v>1076.8499999999999</v>
      </c>
      <c r="D31" s="88">
        <f t="shared" si="0"/>
        <v>-4.4247787610620006E-3</v>
      </c>
      <c r="E31" s="53"/>
    </row>
    <row r="32" spans="1:5" ht="15.75" customHeight="1" x14ac:dyDescent="0.3">
      <c r="C32" s="95">
        <v>1076.8499999999999</v>
      </c>
      <c r="D32" s="88">
        <f t="shared" si="0"/>
        <v>-4.4247787610620006E-3</v>
      </c>
      <c r="E32" s="53"/>
    </row>
    <row r="33" spans="1:7" ht="15.75" customHeight="1" x14ac:dyDescent="0.3">
      <c r="C33" s="95">
        <v>1090.28</v>
      </c>
      <c r="D33" s="88">
        <f t="shared" si="0"/>
        <v>7.9915979127913699E-3</v>
      </c>
      <c r="E33" s="53"/>
    </row>
    <row r="34" spans="1:7" ht="15.75" customHeight="1" x14ac:dyDescent="0.3">
      <c r="C34" s="95">
        <v>1067.08</v>
      </c>
      <c r="D34" s="88">
        <f t="shared" si="0"/>
        <v>-1.3457392320521913E-2</v>
      </c>
      <c r="E34" s="53"/>
    </row>
    <row r="35" spans="1:7" ht="15.75" customHeight="1" x14ac:dyDescent="0.3">
      <c r="C35" s="95">
        <v>1080.6500000000001</v>
      </c>
      <c r="D35" s="88">
        <f t="shared" si="0"/>
        <v>-9.1158208491569836E-4</v>
      </c>
      <c r="E35" s="53"/>
    </row>
    <row r="36" spans="1:7" ht="15.75" customHeight="1" x14ac:dyDescent="0.3">
      <c r="C36" s="95">
        <v>1085.54</v>
      </c>
      <c r="D36" s="88">
        <f t="shared" si="0"/>
        <v>3.6093473220196043E-3</v>
      </c>
      <c r="E36" s="53"/>
    </row>
    <row r="37" spans="1:7" ht="15.75" customHeight="1" x14ac:dyDescent="0.3">
      <c r="C37" s="95">
        <v>1070.57</v>
      </c>
      <c r="D37" s="88">
        <f t="shared" si="0"/>
        <v>-1.0230798531114008E-2</v>
      </c>
      <c r="E37" s="53"/>
    </row>
    <row r="38" spans="1:7" ht="15.75" customHeight="1" x14ac:dyDescent="0.3">
      <c r="C38" s="95">
        <v>1090.5</v>
      </c>
      <c r="D38" s="88">
        <f t="shared" si="0"/>
        <v>8.1949935098314334E-3</v>
      </c>
      <c r="E38" s="53"/>
    </row>
    <row r="39" spans="1:7" ht="15.75" customHeight="1" x14ac:dyDescent="0.3">
      <c r="C39" s="95">
        <v>1071.76</v>
      </c>
      <c r="D39" s="88">
        <f t="shared" si="0"/>
        <v>-9.1306132562155636E-3</v>
      </c>
      <c r="E39" s="53"/>
    </row>
    <row r="40" spans="1:7" ht="15.75" customHeight="1" x14ac:dyDescent="0.3">
      <c r="C40" s="95">
        <v>1092.6500000000001</v>
      </c>
      <c r="D40" s="88">
        <f t="shared" si="0"/>
        <v>1.0182723208177357E-2</v>
      </c>
      <c r="E40" s="53"/>
    </row>
    <row r="41" spans="1:7" ht="15.75" customHeight="1" x14ac:dyDescent="0.3">
      <c r="C41" s="95">
        <v>1084.3800000000001</v>
      </c>
      <c r="D41" s="88">
        <f t="shared" si="0"/>
        <v>2.5368978103540766E-3</v>
      </c>
      <c r="E41" s="53"/>
    </row>
    <row r="42" spans="1:7" ht="15.75" customHeight="1" x14ac:dyDescent="0.3">
      <c r="C42" s="95">
        <v>1071.29</v>
      </c>
      <c r="D42" s="88">
        <f t="shared" si="0"/>
        <v>-9.5651402135283996E-3</v>
      </c>
      <c r="E42" s="53"/>
    </row>
    <row r="43" spans="1:7" ht="16.5" customHeight="1" x14ac:dyDescent="0.3">
      <c r="C43" s="96">
        <v>1081.1500000000001</v>
      </c>
      <c r="D43" s="89">
        <f t="shared" si="0"/>
        <v>-4.4931936437015438E-4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21632.720000000001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1081.636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0">
        <f>C46</f>
        <v>1081.636</v>
      </c>
      <c r="C49" s="93">
        <f>-IF(C46&lt;=80,10%,IF(C46&lt;250,7.5%,5%))</f>
        <v>-0.05</v>
      </c>
      <c r="D49" s="81">
        <f>IF(C46&lt;=80,C46*0.9,IF(C46&lt;250,C46*0.925,C46*0.95))</f>
        <v>1027.5541999999998</v>
      </c>
    </row>
    <row r="50" spans="1:6" ht="17.25" customHeight="1" x14ac:dyDescent="0.3">
      <c r="B50" s="481"/>
      <c r="C50" s="94">
        <f>IF(C46&lt;=80, 10%, IF(C46&lt;250, 7.5%, 5%))</f>
        <v>0.05</v>
      </c>
      <c r="D50" s="81">
        <f>IF(C46&lt;=80, C46*1.1, IF(C46&lt;250, C46*1.075, C46*1.05))</f>
        <v>1135.7178000000001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45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46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98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100" t="s">
        <v>33</v>
      </c>
      <c r="B18" s="520" t="s">
        <v>5</v>
      </c>
      <c r="C18" s="52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5" t="s">
        <v>9</v>
      </c>
      <c r="C20" s="52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20" t="s">
        <v>135</v>
      </c>
      <c r="C26" s="520"/>
    </row>
    <row r="27" spans="1:14" ht="26.25" customHeight="1" x14ac:dyDescent="0.4">
      <c r="A27" s="109" t="s">
        <v>48</v>
      </c>
      <c r="B27" s="526" t="s">
        <v>136</v>
      </c>
      <c r="C27" s="526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496" t="s">
        <v>50</v>
      </c>
      <c r="D29" s="497"/>
      <c r="E29" s="497"/>
      <c r="F29" s="497"/>
      <c r="G29" s="49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9" t="s">
        <v>53</v>
      </c>
      <c r="D31" s="500"/>
      <c r="E31" s="500"/>
      <c r="F31" s="500"/>
      <c r="G31" s="500"/>
      <c r="H31" s="50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9" t="s">
        <v>55</v>
      </c>
      <c r="D32" s="500"/>
      <c r="E32" s="500"/>
      <c r="F32" s="500"/>
      <c r="G32" s="500"/>
      <c r="H32" s="5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502" t="s">
        <v>59</v>
      </c>
      <c r="E36" s="527"/>
      <c r="F36" s="502" t="s">
        <v>60</v>
      </c>
      <c r="G36" s="50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37320716</v>
      </c>
      <c r="E38" s="133">
        <f>IF(ISBLANK(D38),"-",$D$48/$D$45*D38)</f>
        <v>37666537.186223872</v>
      </c>
      <c r="F38" s="132">
        <v>41080094</v>
      </c>
      <c r="G38" s="134">
        <f>IF(ISBLANK(F38),"-",$D$48/$F$45*F38)</f>
        <v>37995799.244733483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37958049</v>
      </c>
      <c r="E39" s="138">
        <f>IF(ISBLANK(D39),"-",$D$48/$D$45*D39)</f>
        <v>38309775.840715587</v>
      </c>
      <c r="F39" s="137">
        <v>41557165</v>
      </c>
      <c r="G39" s="139">
        <f>IF(ISBLANK(F39),"-",$D$48/$F$45*F39)</f>
        <v>38437051.738982506</v>
      </c>
      <c r="I39" s="504">
        <f>ABS((F43/D43*D42)-F42)/D42</f>
        <v>1.8524164668554534E-2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37584127</v>
      </c>
      <c r="E40" s="138">
        <f>IF(ISBLANK(D40),"-",$D$48/$D$45*D40)</f>
        <v>37932389.005003564</v>
      </c>
      <c r="F40" s="137">
        <v>42608630</v>
      </c>
      <c r="G40" s="139">
        <f>IF(ISBLANK(F40),"-",$D$48/$F$45*F40)</f>
        <v>39409572.71356605</v>
      </c>
      <c r="I40" s="5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37620964</v>
      </c>
      <c r="E42" s="148">
        <f>AVERAGE(E38:E41)</f>
        <v>37969567.343981005</v>
      </c>
      <c r="F42" s="147">
        <f>AVERAGE(F38:F41)</f>
        <v>41748629.666666664</v>
      </c>
      <c r="G42" s="149">
        <f>AVERAGE(G38:G41)</f>
        <v>38614141.232427344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16.010000000000002</v>
      </c>
      <c r="E43" s="140"/>
      <c r="F43" s="152">
        <v>17.47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16.010000000000002</v>
      </c>
      <c r="E44" s="155"/>
      <c r="F44" s="154">
        <f>F43*$B$34</f>
        <v>17.47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15.853102000000002</v>
      </c>
      <c r="E45" s="158"/>
      <c r="F45" s="157">
        <f>F44*$B$30/100</f>
        <v>17.298793999999997</v>
      </c>
      <c r="H45" s="150"/>
    </row>
    <row r="46" spans="1:14" ht="19.5" customHeight="1" x14ac:dyDescent="0.3">
      <c r="A46" s="490" t="s">
        <v>78</v>
      </c>
      <c r="B46" s="491"/>
      <c r="C46" s="153" t="s">
        <v>79</v>
      </c>
      <c r="D46" s="159">
        <f>D45/$B$45</f>
        <v>0.15853102000000002</v>
      </c>
      <c r="E46" s="160"/>
      <c r="F46" s="161">
        <f>F45/$B$45</f>
        <v>0.17298793999999998</v>
      </c>
      <c r="H46" s="150"/>
    </row>
    <row r="47" spans="1:14" ht="27" customHeight="1" x14ac:dyDescent="0.4">
      <c r="A47" s="492"/>
      <c r="B47" s="493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38291854.288204171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1.6007511805397841E-2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Sulfamethoxazole BP 800 mg and Trimethoprim BP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Sulfamethoxazole BP 800 MG &amp; Trimethoprim BP 160 MG</v>
      </c>
      <c r="H56" s="179"/>
    </row>
    <row r="57" spans="1:12" ht="18.75" x14ac:dyDescent="0.3">
      <c r="A57" s="176" t="s">
        <v>88</v>
      </c>
      <c r="B57" s="247">
        <f>Uniformity!C46</f>
        <v>1081.636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7" t="s">
        <v>94</v>
      </c>
      <c r="D60" s="510">
        <v>1077.8900000000001</v>
      </c>
      <c r="E60" s="182">
        <v>1</v>
      </c>
      <c r="F60" s="183">
        <v>37529317</v>
      </c>
      <c r="G60" s="248">
        <f>IF(ISBLANK(F60),"-",(F60/$D$50*$D$47*$B$68)*($B$57/$D$60))</f>
        <v>786.79382118622721</v>
      </c>
      <c r="H60" s="266">
        <f t="shared" ref="H60:H71" si="0">IF(ISBLANK(F60),"-",(G60/$B$56)*100)</f>
        <v>98.349227648278401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8"/>
      <c r="D61" s="511"/>
      <c r="E61" s="184">
        <v>2</v>
      </c>
      <c r="F61" s="137">
        <v>37491641</v>
      </c>
      <c r="G61" s="249">
        <f>IF(ISBLANK(F61),"-",(F61/$D$50*$D$47*$B$68)*($B$57/$D$60))</f>
        <v>786.00395218842448</v>
      </c>
      <c r="H61" s="267">
        <f t="shared" si="0"/>
        <v>98.25049402355306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8"/>
      <c r="D62" s="511"/>
      <c r="E62" s="184">
        <v>3</v>
      </c>
      <c r="F62" s="185">
        <v>37519147</v>
      </c>
      <c r="G62" s="249">
        <f>IF(ISBLANK(F62),"-",(F62/$D$50*$D$47*$B$68)*($B$57/$D$60))</f>
        <v>786.58060938806238</v>
      </c>
      <c r="H62" s="267">
        <f t="shared" si="0"/>
        <v>98.322576173507798</v>
      </c>
      <c r="L62" s="112"/>
    </row>
    <row r="63" spans="1:12" ht="27" customHeight="1" x14ac:dyDescent="0.4">
      <c r="A63" s="124" t="s">
        <v>97</v>
      </c>
      <c r="B63" s="125">
        <v>1</v>
      </c>
      <c r="C63" s="517"/>
      <c r="D63" s="512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7" t="s">
        <v>99</v>
      </c>
      <c r="D64" s="510">
        <v>1087.1199999999999</v>
      </c>
      <c r="E64" s="182">
        <v>1</v>
      </c>
      <c r="F64" s="183">
        <v>37848489</v>
      </c>
      <c r="G64" s="248">
        <f>IF(ISBLANK(F64),"-",(F64/$D$50*$D$47*$B$68)*($B$57/$D$64))</f>
        <v>786.74824587987405</v>
      </c>
      <c r="H64" s="266">
        <f t="shared" si="0"/>
        <v>98.343530734984256</v>
      </c>
    </row>
    <row r="65" spans="1:8" ht="26.25" customHeight="1" x14ac:dyDescent="0.4">
      <c r="A65" s="124" t="s">
        <v>100</v>
      </c>
      <c r="B65" s="125">
        <v>1</v>
      </c>
      <c r="C65" s="508"/>
      <c r="D65" s="511"/>
      <c r="E65" s="184">
        <v>2</v>
      </c>
      <c r="F65" s="137">
        <v>38037807</v>
      </c>
      <c r="G65" s="249">
        <f>IF(ISBLANK(F65),"-",(F65/$D$50*$D$47*$B$68)*($B$57/$D$64))</f>
        <v>790.68355765449951</v>
      </c>
      <c r="H65" s="267">
        <f t="shared" si="0"/>
        <v>98.835444706812439</v>
      </c>
    </row>
    <row r="66" spans="1:8" ht="26.25" customHeight="1" x14ac:dyDescent="0.4">
      <c r="A66" s="124" t="s">
        <v>101</v>
      </c>
      <c r="B66" s="125">
        <v>1</v>
      </c>
      <c r="C66" s="508"/>
      <c r="D66" s="511"/>
      <c r="E66" s="184">
        <v>3</v>
      </c>
      <c r="F66" s="137">
        <v>37900774</v>
      </c>
      <c r="G66" s="249">
        <f>IF(ISBLANK(F66),"-",(F66/$D$50*$D$47*$B$68)*($B$57/$D$64))</f>
        <v>787.83508271597157</v>
      </c>
      <c r="H66" s="267">
        <f t="shared" si="0"/>
        <v>98.479385339496446</v>
      </c>
    </row>
    <row r="67" spans="1:8" ht="27" customHeight="1" x14ac:dyDescent="0.4">
      <c r="A67" s="124" t="s">
        <v>102</v>
      </c>
      <c r="B67" s="125">
        <v>1</v>
      </c>
      <c r="C67" s="517"/>
      <c r="D67" s="512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07" t="s">
        <v>104</v>
      </c>
      <c r="D68" s="510">
        <v>1075.06</v>
      </c>
      <c r="E68" s="182">
        <v>1</v>
      </c>
      <c r="F68" s="183">
        <v>37573717</v>
      </c>
      <c r="G68" s="248">
        <f>IF(ISBLANK(F68),"-",(F68/$D$50*$D$47*$B$68)*($B$57/$D$68))</f>
        <v>789.79827257697525</v>
      </c>
      <c r="H68" s="267">
        <f t="shared" si="0"/>
        <v>98.724784072121906</v>
      </c>
    </row>
    <row r="69" spans="1:8" ht="27" customHeight="1" x14ac:dyDescent="0.4">
      <c r="A69" s="172" t="s">
        <v>105</v>
      </c>
      <c r="B69" s="189">
        <f>(D47*B68)/B56*B57</f>
        <v>1081.636</v>
      </c>
      <c r="C69" s="508"/>
      <c r="D69" s="511"/>
      <c r="E69" s="184">
        <v>2</v>
      </c>
      <c r="F69" s="137">
        <v>37198762</v>
      </c>
      <c r="G69" s="249">
        <f>IF(ISBLANK(F69),"-",(F69/$D$50*$D$47*$B$68)*($B$57/$D$68))</f>
        <v>781.91673103840185</v>
      </c>
      <c r="H69" s="267">
        <f t="shared" si="0"/>
        <v>97.739591379800231</v>
      </c>
    </row>
    <row r="70" spans="1:8" ht="26.25" customHeight="1" x14ac:dyDescent="0.4">
      <c r="A70" s="513" t="s">
        <v>78</v>
      </c>
      <c r="B70" s="514"/>
      <c r="C70" s="508"/>
      <c r="D70" s="511"/>
      <c r="E70" s="184">
        <v>3</v>
      </c>
      <c r="F70" s="137">
        <v>37493005</v>
      </c>
      <c r="G70" s="249">
        <f>IF(ISBLANK(F70),"-",(F70/$D$50*$D$47*$B$68)*($B$57/$D$68))</f>
        <v>788.10170904092081</v>
      </c>
      <c r="H70" s="267">
        <f t="shared" si="0"/>
        <v>98.512713630115101</v>
      </c>
    </row>
    <row r="71" spans="1:8" ht="27" customHeight="1" x14ac:dyDescent="0.4">
      <c r="A71" s="515"/>
      <c r="B71" s="516"/>
      <c r="C71" s="509"/>
      <c r="D71" s="512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787.16244240770629</v>
      </c>
      <c r="H72" s="269">
        <f>AVERAGE(H60:H71)</f>
        <v>98.395305300963287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3.1818688000231662E-3</v>
      </c>
      <c r="H73" s="253">
        <f>STDEV(H60:H71)/H72</f>
        <v>3.1818688000231662E-3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494" t="str">
        <f>B26</f>
        <v>Sulfamethoxazole</v>
      </c>
      <c r="D76" s="494"/>
      <c r="E76" s="198" t="s">
        <v>108</v>
      </c>
      <c r="F76" s="198"/>
      <c r="G76" s="285">
        <f>H72</f>
        <v>98.395305300963287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8" t="str">
        <f>B26</f>
        <v>Sulfamethoxazole</v>
      </c>
      <c r="C79" s="528"/>
    </row>
    <row r="80" spans="1:8" ht="26.25" customHeight="1" x14ac:dyDescent="0.4">
      <c r="A80" s="109" t="s">
        <v>48</v>
      </c>
      <c r="B80" s="528" t="str">
        <f>B27</f>
        <v>S12-6</v>
      </c>
      <c r="C80" s="528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6" t="s">
        <v>50</v>
      </c>
      <c r="D82" s="497"/>
      <c r="E82" s="497"/>
      <c r="F82" s="497"/>
      <c r="G82" s="49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9" t="s">
        <v>111</v>
      </c>
      <c r="D84" s="500"/>
      <c r="E84" s="500"/>
      <c r="F84" s="500"/>
      <c r="G84" s="500"/>
      <c r="H84" s="50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9" t="s">
        <v>112</v>
      </c>
      <c r="D85" s="500"/>
      <c r="E85" s="500"/>
      <c r="F85" s="500"/>
      <c r="G85" s="500"/>
      <c r="H85" s="5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502" t="s">
        <v>60</v>
      </c>
      <c r="G89" s="50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37320716</v>
      </c>
      <c r="E91" s="133">
        <f>IF(ISBLANK(D91),"-",$D$101/$D$98*D91)</f>
        <v>41851707.984693192</v>
      </c>
      <c r="F91" s="132">
        <v>41080094</v>
      </c>
      <c r="G91" s="134">
        <f>IF(ISBLANK(F91),"-",$D$101/$F$98*F91)</f>
        <v>42217554.716370538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37958049</v>
      </c>
      <c r="E92" s="138">
        <f>IF(ISBLANK(D92),"-",$D$101/$D$98*D92)</f>
        <v>42566417.600795098</v>
      </c>
      <c r="F92" s="137">
        <v>41557165</v>
      </c>
      <c r="G92" s="139">
        <f>IF(ISBLANK(F92),"-",$D$101/$F$98*F92)</f>
        <v>42707835.265536115</v>
      </c>
      <c r="I92" s="504">
        <f>ABS((F96/D96*D95)-F95)/D95</f>
        <v>1.8524164668554534E-2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37584127</v>
      </c>
      <c r="E93" s="138">
        <f>IF(ISBLANK(D93),"-",$D$101/$D$98*D93)</f>
        <v>42147098.894448407</v>
      </c>
      <c r="F93" s="137">
        <v>42608630</v>
      </c>
      <c r="G93" s="139">
        <f>IF(ISBLANK(F93),"-",$D$101/$F$98*F93)</f>
        <v>43788414.126184501</v>
      </c>
      <c r="I93" s="50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37620964</v>
      </c>
      <c r="E95" s="148">
        <f>AVERAGE(E91:E94)</f>
        <v>42188408.159978896</v>
      </c>
      <c r="F95" s="211">
        <f>AVERAGE(F91:F94)</f>
        <v>41748629.666666664</v>
      </c>
      <c r="G95" s="212">
        <f>AVERAGE(G91:G94)</f>
        <v>42904601.369363718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16.010000000000002</v>
      </c>
      <c r="E96" s="140"/>
      <c r="F96" s="152">
        <v>17.47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16.010000000000002</v>
      </c>
      <c r="E97" s="155"/>
      <c r="F97" s="154">
        <f>F96*$B$87</f>
        <v>17.47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15.853102000000002</v>
      </c>
      <c r="E98" s="158"/>
      <c r="F98" s="157">
        <f>F97*$B$83/100</f>
        <v>17.298793999999997</v>
      </c>
    </row>
    <row r="99" spans="1:10" ht="19.5" customHeight="1" x14ac:dyDescent="0.3">
      <c r="A99" s="490" t="s">
        <v>78</v>
      </c>
      <c r="B99" s="505"/>
      <c r="C99" s="215" t="s">
        <v>116</v>
      </c>
      <c r="D99" s="219">
        <f>D98/$B$98</f>
        <v>0.15853102000000002</v>
      </c>
      <c r="E99" s="158"/>
      <c r="F99" s="161">
        <f>F98/$B$98</f>
        <v>0.17298793999999998</v>
      </c>
      <c r="G99" s="220"/>
      <c r="H99" s="150"/>
    </row>
    <row r="100" spans="1:10" ht="19.5" customHeight="1" x14ac:dyDescent="0.3">
      <c r="A100" s="492"/>
      <c r="B100" s="506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42546504.764671311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1.6007511805397823E-2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10</v>
      </c>
      <c r="C108" s="275">
        <v>1</v>
      </c>
      <c r="D108" s="276">
        <v>42132851</v>
      </c>
      <c r="E108" s="250">
        <f t="shared" ref="E108:E113" si="1">IF(ISBLANK(D108),"-",D108/$D$103*$D$100*$B$116)</f>
        <v>792.22208701825411</v>
      </c>
      <c r="F108" s="277">
        <f t="shared" ref="F108:F113" si="2">IF(ISBLANK(D108), "-", (E108/$B$56)*100)</f>
        <v>99.027760877281764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42163461</v>
      </c>
      <c r="E109" s="251">
        <f t="shared" si="1"/>
        <v>792.79764546037404</v>
      </c>
      <c r="F109" s="278">
        <f t="shared" si="2"/>
        <v>99.099705682546755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42431644</v>
      </c>
      <c r="E110" s="251">
        <f t="shared" si="1"/>
        <v>797.84027824975772</v>
      </c>
      <c r="F110" s="278">
        <f t="shared" si="2"/>
        <v>99.730034781219715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41612112</v>
      </c>
      <c r="E111" s="251">
        <f t="shared" si="1"/>
        <v>782.43065521194706</v>
      </c>
      <c r="F111" s="278">
        <f t="shared" si="2"/>
        <v>97.803831901493382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41738659</v>
      </c>
      <c r="E112" s="251">
        <f t="shared" si="1"/>
        <v>784.81011271521209</v>
      </c>
      <c r="F112" s="278">
        <f t="shared" si="2"/>
        <v>98.101264089401511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41860590</v>
      </c>
      <c r="E113" s="252">
        <f t="shared" si="1"/>
        <v>787.10277577977001</v>
      </c>
      <c r="F113" s="279">
        <f t="shared" si="2"/>
        <v>98.387846972471252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789.53392573921917</v>
      </c>
      <c r="F115" s="281">
        <f>AVERAGE(F108:F113)</f>
        <v>98.691740717402396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7.2881155458788278E-3</v>
      </c>
      <c r="F116" s="235">
        <f>STDEV(F108:F113)/F115</f>
        <v>7.2881155458788278E-3</v>
      </c>
      <c r="I116" s="98"/>
    </row>
    <row r="117" spans="1:10" ht="27" customHeight="1" x14ac:dyDescent="0.4">
      <c r="A117" s="490" t="s">
        <v>78</v>
      </c>
      <c r="B117" s="491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92"/>
      <c r="B118" s="493"/>
      <c r="C118" s="98"/>
      <c r="D118" s="260"/>
      <c r="E118" s="518" t="s">
        <v>123</v>
      </c>
      <c r="F118" s="519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782.43065521194706</v>
      </c>
      <c r="F119" s="282">
        <f>MIN(F108:F113)</f>
        <v>97.803831901493382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797.84027824975772</v>
      </c>
      <c r="F120" s="283">
        <f>MAX(F108:F113)</f>
        <v>99.730034781219715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4" t="str">
        <f>B26</f>
        <v>Sulfamethoxazole</v>
      </c>
      <c r="D124" s="494"/>
      <c r="E124" s="198" t="s">
        <v>127</v>
      </c>
      <c r="F124" s="198"/>
      <c r="G124" s="284">
        <f>F115</f>
        <v>98.691740717402396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97.803831901493382</v>
      </c>
      <c r="E125" s="209" t="s">
        <v>130</v>
      </c>
      <c r="F125" s="284">
        <f>MAX(F108:F113)</f>
        <v>99.730034781219715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5" t="s">
        <v>26</v>
      </c>
      <c r="C127" s="495"/>
      <c r="E127" s="204" t="s">
        <v>27</v>
      </c>
      <c r="F127" s="239"/>
      <c r="G127" s="495" t="s">
        <v>28</v>
      </c>
      <c r="H127" s="49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5" zoomScale="46" zoomScaleNormal="40" zoomScalePageLayoutView="46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45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46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286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288" t="s">
        <v>33</v>
      </c>
      <c r="B18" s="520" t="s">
        <v>5</v>
      </c>
      <c r="C18" s="520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5" t="s">
        <v>9</v>
      </c>
      <c r="C20" s="525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20" t="s">
        <v>137</v>
      </c>
      <c r="C26" s="520"/>
    </row>
    <row r="27" spans="1:14" ht="26.25" customHeight="1" x14ac:dyDescent="0.4">
      <c r="A27" s="297" t="s">
        <v>48</v>
      </c>
      <c r="B27" s="526" t="s">
        <v>138</v>
      </c>
      <c r="C27" s="526"/>
    </row>
    <row r="28" spans="1:14" ht="27" customHeight="1" x14ac:dyDescent="0.4">
      <c r="A28" s="297" t="s">
        <v>6</v>
      </c>
      <c r="B28" s="298">
        <v>99.75</v>
      </c>
    </row>
    <row r="29" spans="1:14" s="14" customFormat="1" ht="27" customHeight="1" x14ac:dyDescent="0.4">
      <c r="A29" s="297" t="s">
        <v>49</v>
      </c>
      <c r="B29" s="299">
        <v>0</v>
      </c>
      <c r="C29" s="496" t="s">
        <v>50</v>
      </c>
      <c r="D29" s="497"/>
      <c r="E29" s="497"/>
      <c r="F29" s="497"/>
      <c r="G29" s="498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99.75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9" t="s">
        <v>53</v>
      </c>
      <c r="D31" s="500"/>
      <c r="E31" s="500"/>
      <c r="F31" s="500"/>
      <c r="G31" s="500"/>
      <c r="H31" s="501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9" t="s">
        <v>55</v>
      </c>
      <c r="D32" s="500"/>
      <c r="E32" s="500"/>
      <c r="F32" s="500"/>
      <c r="G32" s="500"/>
      <c r="H32" s="501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502" t="s">
        <v>59</v>
      </c>
      <c r="E36" s="527"/>
      <c r="F36" s="502" t="s">
        <v>60</v>
      </c>
      <c r="G36" s="503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2842773</v>
      </c>
      <c r="E38" s="321">
        <f>IF(ISBLANK(D38),"-",$D$48/$D$45*D38)</f>
        <v>2878684.5902635371</v>
      </c>
      <c r="F38" s="320">
        <v>2972444</v>
      </c>
      <c r="G38" s="322">
        <f>IF(ISBLANK(F38),"-",$D$48/$F$45*F38)</f>
        <v>2816534.7205442721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2893814</v>
      </c>
      <c r="E39" s="326">
        <f>IF(ISBLANK(D39),"-",$D$48/$D$45*D39)</f>
        <v>2930370.3703703699</v>
      </c>
      <c r="F39" s="325">
        <v>3053090</v>
      </c>
      <c r="G39" s="327">
        <f>IF(ISBLANK(F39),"-",$D$48/$F$45*F39)</f>
        <v>2892950.7132671</v>
      </c>
      <c r="I39" s="504">
        <f>ABS((F43/D43*D42)-F42)/D42</f>
        <v>3.0702131888032708E-3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2870877</v>
      </c>
      <c r="E40" s="326">
        <f>IF(ISBLANK(D40),"-",$D$48/$D$45*D40)</f>
        <v>2907143.6166173005</v>
      </c>
      <c r="F40" s="325">
        <v>3146723</v>
      </c>
      <c r="G40" s="327">
        <f>IF(ISBLANK(F40),"-",$D$48/$F$45*F40)</f>
        <v>2981672.517778378</v>
      </c>
      <c r="I40" s="504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2869154.6666666665</v>
      </c>
      <c r="E42" s="336">
        <f>AVERAGE(E38:E41)</f>
        <v>2905399.5257504024</v>
      </c>
      <c r="F42" s="335">
        <f>AVERAGE(F38:F41)</f>
        <v>3057419</v>
      </c>
      <c r="G42" s="337">
        <f>AVERAGE(G38:G41)</f>
        <v>2897052.6505299169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19.8</v>
      </c>
      <c r="E43" s="328"/>
      <c r="F43" s="340">
        <v>21.16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19.8</v>
      </c>
      <c r="E44" s="343"/>
      <c r="F44" s="342">
        <f>F43*$B$34</f>
        <v>21.16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19.750500000000002</v>
      </c>
      <c r="E45" s="346"/>
      <c r="F45" s="345">
        <f>F44*$B$30/100</f>
        <v>21.107099999999999</v>
      </c>
      <c r="H45" s="338"/>
    </row>
    <row r="46" spans="1:14" ht="19.5" customHeight="1" x14ac:dyDescent="0.3">
      <c r="A46" s="490" t="s">
        <v>78</v>
      </c>
      <c r="B46" s="491"/>
      <c r="C46" s="341" t="s">
        <v>79</v>
      </c>
      <c r="D46" s="347">
        <f>D45/$B$45</f>
        <v>3.1600800000000005E-2</v>
      </c>
      <c r="E46" s="348"/>
      <c r="F46" s="349">
        <f>F45/$B$45</f>
        <v>3.377136E-2</v>
      </c>
      <c r="H46" s="338"/>
    </row>
    <row r="47" spans="1:14" ht="27" customHeight="1" x14ac:dyDescent="0.4">
      <c r="A47" s="492"/>
      <c r="B47" s="493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2901226.0881401594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1.8945129160262149E-2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contains: Sulfamethoxazole BP 800 mg and Trimethoprim BP 160 mg.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Sulfamethoxazole BP 800 MG &amp; Trimethoprim BP 160 MG</v>
      </c>
      <c r="H56" s="367"/>
    </row>
    <row r="57" spans="1:12" ht="18.75" x14ac:dyDescent="0.3">
      <c r="A57" s="364" t="s">
        <v>88</v>
      </c>
      <c r="B57" s="435">
        <f>Uniformity!C46</f>
        <v>1081.636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07" t="s">
        <v>94</v>
      </c>
      <c r="D60" s="510">
        <v>1077.8900000000001</v>
      </c>
      <c r="E60" s="370">
        <v>1</v>
      </c>
      <c r="F60" s="371">
        <v>2851006</v>
      </c>
      <c r="G60" s="436">
        <f>IF(ISBLANK(F60),"-",(F60/$D$50*$D$47*$B$68)*($B$57/$D$60))</f>
        <v>157.7768316005307</v>
      </c>
      <c r="H60" s="454">
        <f t="shared" ref="H60:H71" si="0">IF(ISBLANK(F60),"-",(G60/$B$56)*100)</f>
        <v>98.610519750331676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08"/>
      <c r="D61" s="511"/>
      <c r="E61" s="372">
        <v>2</v>
      </c>
      <c r="F61" s="325">
        <v>2847574</v>
      </c>
      <c r="G61" s="437">
        <f>IF(ISBLANK(F61),"-",(F61/$D$50*$D$47*$B$68)*($B$57/$D$60))</f>
        <v>157.5869021208828</v>
      </c>
      <c r="H61" s="455">
        <f t="shared" si="0"/>
        <v>98.491813825551745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8"/>
      <c r="D62" s="511"/>
      <c r="E62" s="372">
        <v>3</v>
      </c>
      <c r="F62" s="373">
        <v>2846187</v>
      </c>
      <c r="G62" s="437">
        <f>IF(ISBLANK(F62),"-",(F62/$D$50*$D$47*$B$68)*($B$57/$D$60))</f>
        <v>157.51014449026752</v>
      </c>
      <c r="H62" s="455">
        <f t="shared" si="0"/>
        <v>98.443840306417201</v>
      </c>
      <c r="L62" s="300"/>
    </row>
    <row r="63" spans="1:12" ht="27" customHeight="1" x14ac:dyDescent="0.4">
      <c r="A63" s="312" t="s">
        <v>97</v>
      </c>
      <c r="B63" s="313">
        <v>1</v>
      </c>
      <c r="C63" s="517"/>
      <c r="D63" s="512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7" t="s">
        <v>99</v>
      </c>
      <c r="D64" s="510">
        <v>1087.1199999999999</v>
      </c>
      <c r="E64" s="370">
        <v>1</v>
      </c>
      <c r="F64" s="371">
        <v>2875842</v>
      </c>
      <c r="G64" s="436">
        <f>IF(ISBLANK(F64),"-",(F64/$D$50*$D$47*$B$68)*($B$57/$D$64))</f>
        <v>157.80002891664839</v>
      </c>
      <c r="H64" s="454">
        <f t="shared" si="0"/>
        <v>98.625018072905249</v>
      </c>
    </row>
    <row r="65" spans="1:8" ht="26.25" customHeight="1" x14ac:dyDescent="0.4">
      <c r="A65" s="312" t="s">
        <v>100</v>
      </c>
      <c r="B65" s="313">
        <v>1</v>
      </c>
      <c r="C65" s="508"/>
      <c r="D65" s="511"/>
      <c r="E65" s="372">
        <v>2</v>
      </c>
      <c r="F65" s="325">
        <v>2890252</v>
      </c>
      <c r="G65" s="437">
        <f>IF(ISBLANK(F65),"-",(F65/$D$50*$D$47*$B$68)*($B$57/$D$64))</f>
        <v>158.59071853613685</v>
      </c>
      <c r="H65" s="455">
        <f t="shared" si="0"/>
        <v>99.119199085085526</v>
      </c>
    </row>
    <row r="66" spans="1:8" ht="26.25" customHeight="1" x14ac:dyDescent="0.4">
      <c r="A66" s="312" t="s">
        <v>101</v>
      </c>
      <c r="B66" s="313">
        <v>1</v>
      </c>
      <c r="C66" s="508"/>
      <c r="D66" s="511"/>
      <c r="E66" s="372">
        <v>3</v>
      </c>
      <c r="F66" s="325">
        <v>2881524</v>
      </c>
      <c r="G66" s="437">
        <f>IF(ISBLANK(F66),"-",(F66/$D$50*$D$47*$B$68)*($B$57/$D$64))</f>
        <v>158.11180535092552</v>
      </c>
      <c r="H66" s="455">
        <f t="shared" si="0"/>
        <v>98.819878344328444</v>
      </c>
    </row>
    <row r="67" spans="1:8" ht="27" customHeight="1" x14ac:dyDescent="0.4">
      <c r="A67" s="312" t="s">
        <v>102</v>
      </c>
      <c r="B67" s="313">
        <v>1</v>
      </c>
      <c r="C67" s="517"/>
      <c r="D67" s="512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5000</v>
      </c>
      <c r="C68" s="507" t="s">
        <v>104</v>
      </c>
      <c r="D68" s="510">
        <v>1075.06</v>
      </c>
      <c r="E68" s="370">
        <v>1</v>
      </c>
      <c r="F68" s="371">
        <v>2861476</v>
      </c>
      <c r="G68" s="436">
        <f>IF(ISBLANK(F68),"-",(F68/$D$50*$D$47*$B$68)*($B$57/$D$68))</f>
        <v>158.77310809786215</v>
      </c>
      <c r="H68" s="455">
        <f t="shared" si="0"/>
        <v>99.233192561163847</v>
      </c>
    </row>
    <row r="69" spans="1:8" ht="27" customHeight="1" x14ac:dyDescent="0.4">
      <c r="A69" s="360" t="s">
        <v>105</v>
      </c>
      <c r="B69" s="377">
        <f>(D47*B68)/B56*B57</f>
        <v>1081.636</v>
      </c>
      <c r="C69" s="508"/>
      <c r="D69" s="511"/>
      <c r="E69" s="372">
        <v>2</v>
      </c>
      <c r="F69" s="325">
        <v>2834226</v>
      </c>
      <c r="G69" s="437">
        <f>IF(ISBLANK(F69),"-",(F69/$D$50*$D$47*$B$68)*($B$57/$D$68))</f>
        <v>157.26110268678522</v>
      </c>
      <c r="H69" s="455">
        <f t="shared" si="0"/>
        <v>98.28818917924076</v>
      </c>
    </row>
    <row r="70" spans="1:8" ht="26.25" customHeight="1" x14ac:dyDescent="0.4">
      <c r="A70" s="513" t="s">
        <v>78</v>
      </c>
      <c r="B70" s="514"/>
      <c r="C70" s="508"/>
      <c r="D70" s="511"/>
      <c r="E70" s="372">
        <v>3</v>
      </c>
      <c r="F70" s="325">
        <v>2853756</v>
      </c>
      <c r="G70" s="437">
        <f>IF(ISBLANK(F70),"-",(F70/$D$50*$D$47*$B$68)*($B$57/$D$68))</f>
        <v>158.34475280342127</v>
      </c>
      <c r="H70" s="455">
        <f t="shared" si="0"/>
        <v>98.965470502138302</v>
      </c>
    </row>
    <row r="71" spans="1:8" ht="27" customHeight="1" x14ac:dyDescent="0.4">
      <c r="A71" s="515"/>
      <c r="B71" s="516"/>
      <c r="C71" s="509"/>
      <c r="D71" s="512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157.97282162260672</v>
      </c>
      <c r="H72" s="457">
        <f>AVERAGE(H60:H71)</f>
        <v>98.733013514129198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3.2569197687320416E-3</v>
      </c>
      <c r="H73" s="441">
        <f>STDEV(H60:H71)/H72</f>
        <v>3.2569197687320581E-3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494" t="str">
        <f>B26</f>
        <v>Trimethoprim</v>
      </c>
      <c r="D76" s="494"/>
      <c r="E76" s="386" t="s">
        <v>108</v>
      </c>
      <c r="F76" s="386"/>
      <c r="G76" s="473">
        <f>H72</f>
        <v>98.733013514129198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8" t="str">
        <f>B26</f>
        <v>Trimethoprim</v>
      </c>
      <c r="C79" s="528"/>
    </row>
    <row r="80" spans="1:8" ht="26.25" customHeight="1" x14ac:dyDescent="0.4">
      <c r="A80" s="297" t="s">
        <v>48</v>
      </c>
      <c r="B80" s="528" t="str">
        <f>B27</f>
        <v>T7-5</v>
      </c>
      <c r="C80" s="528"/>
    </row>
    <row r="81" spans="1:12" ht="27" customHeight="1" x14ac:dyDescent="0.4">
      <c r="A81" s="297" t="s">
        <v>6</v>
      </c>
      <c r="B81" s="389">
        <f>B28</f>
        <v>99.75</v>
      </c>
    </row>
    <row r="82" spans="1:12" s="14" customFormat="1" ht="27" customHeight="1" x14ac:dyDescent="0.4">
      <c r="A82" s="297" t="s">
        <v>49</v>
      </c>
      <c r="B82" s="299">
        <v>0</v>
      </c>
      <c r="C82" s="496" t="s">
        <v>50</v>
      </c>
      <c r="D82" s="497"/>
      <c r="E82" s="497"/>
      <c r="F82" s="497"/>
      <c r="G82" s="498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99.75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9" t="s">
        <v>111</v>
      </c>
      <c r="D84" s="500"/>
      <c r="E84" s="500"/>
      <c r="F84" s="500"/>
      <c r="G84" s="500"/>
      <c r="H84" s="501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9" t="s">
        <v>112</v>
      </c>
      <c r="D85" s="500"/>
      <c r="E85" s="500"/>
      <c r="F85" s="500"/>
      <c r="G85" s="500"/>
      <c r="H85" s="501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502" t="s">
        <v>60</v>
      </c>
      <c r="G89" s="503"/>
    </row>
    <row r="90" spans="1:12" ht="27" customHeight="1" x14ac:dyDescent="0.4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320">
        <v>2842773</v>
      </c>
      <c r="E91" s="321">
        <f>IF(ISBLANK(D91),"-",$D$101/$D$98*D91)</f>
        <v>3198538.4336261526</v>
      </c>
      <c r="F91" s="320">
        <v>2972444</v>
      </c>
      <c r="G91" s="322">
        <f>IF(ISBLANK(F91),"-",$D$101/$F$98*F91)</f>
        <v>3129483.0228269682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2893814</v>
      </c>
      <c r="E92" s="326">
        <f>IF(ISBLANK(D92),"-",$D$101/$D$98*D92)</f>
        <v>3255967.0781892999</v>
      </c>
      <c r="F92" s="325">
        <v>3053090</v>
      </c>
      <c r="G92" s="327">
        <f>IF(ISBLANK(F92),"-",$D$101/$F$98*F92)</f>
        <v>3214389.6814078884</v>
      </c>
      <c r="I92" s="504">
        <f>ABS((F96/D96*D95)-F95)/D95</f>
        <v>3.0702131888032708E-3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2870877</v>
      </c>
      <c r="E93" s="326">
        <f>IF(ISBLANK(D93),"-",$D$101/$D$98*D93)</f>
        <v>3230159.574019223</v>
      </c>
      <c r="F93" s="325">
        <v>3146723</v>
      </c>
      <c r="G93" s="327">
        <f>IF(ISBLANK(F93),"-",$D$101/$F$98*F93)</f>
        <v>3312969.4641981972</v>
      </c>
      <c r="I93" s="504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2869154.6666666665</v>
      </c>
      <c r="E95" s="336">
        <f>AVERAGE(E91:E94)</f>
        <v>3228221.6952782255</v>
      </c>
      <c r="F95" s="399">
        <f>AVERAGE(F91:F94)</f>
        <v>3057419</v>
      </c>
      <c r="G95" s="400">
        <f>AVERAGE(G91:G94)</f>
        <v>3218947.3894776851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19.8</v>
      </c>
      <c r="E96" s="328"/>
      <c r="F96" s="340">
        <v>21.16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19.8</v>
      </c>
      <c r="E97" s="343"/>
      <c r="F97" s="342">
        <f>F96*$B$87</f>
        <v>21.16</v>
      </c>
    </row>
    <row r="98" spans="1:10" ht="19.5" customHeight="1" x14ac:dyDescent="0.3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19.750500000000002</v>
      </c>
      <c r="E98" s="346"/>
      <c r="F98" s="345">
        <f>F97*$B$83/100</f>
        <v>21.107099999999999</v>
      </c>
    </row>
    <row r="99" spans="1:10" ht="19.5" customHeight="1" x14ac:dyDescent="0.3">
      <c r="A99" s="490" t="s">
        <v>78</v>
      </c>
      <c r="B99" s="505"/>
      <c r="C99" s="403" t="s">
        <v>116</v>
      </c>
      <c r="D99" s="407">
        <f>D98/$B$98</f>
        <v>3.1600800000000005E-2</v>
      </c>
      <c r="E99" s="346"/>
      <c r="F99" s="349">
        <f>F98/$B$98</f>
        <v>3.377136E-2</v>
      </c>
      <c r="G99" s="408"/>
      <c r="H99" s="338"/>
    </row>
    <row r="100" spans="1:10" ht="19.5" customHeight="1" x14ac:dyDescent="0.3">
      <c r="A100" s="492"/>
      <c r="B100" s="506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3223584.5423779548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1.8945129160262177E-2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10</v>
      </c>
      <c r="C108" s="463">
        <v>1</v>
      </c>
      <c r="D108" s="464">
        <v>3209866</v>
      </c>
      <c r="E108" s="438">
        <f t="shared" ref="E108:E113" si="1">IF(ISBLANK(D108),"-",D108/$D$103*$D$100*$B$116)</f>
        <v>159.31909129367719</v>
      </c>
      <c r="F108" s="465">
        <f t="shared" ref="F108:F113" si="2">IF(ISBLANK(D108), "-", (E108/$B$56)*100)</f>
        <v>99.57443205854824</v>
      </c>
    </row>
    <row r="109" spans="1:10" ht="26.25" customHeight="1" x14ac:dyDescent="0.4">
      <c r="A109" s="312" t="s">
        <v>95</v>
      </c>
      <c r="B109" s="313">
        <v>50</v>
      </c>
      <c r="C109" s="459">
        <v>2</v>
      </c>
      <c r="D109" s="461">
        <v>3213563</v>
      </c>
      <c r="E109" s="439">
        <f t="shared" si="1"/>
        <v>159.5025888853252</v>
      </c>
      <c r="F109" s="466">
        <f t="shared" si="2"/>
        <v>99.689118053328258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3232625</v>
      </c>
      <c r="E110" s="439">
        <f t="shared" si="1"/>
        <v>160.44871576982442</v>
      </c>
      <c r="F110" s="466">
        <f t="shared" si="2"/>
        <v>100.28044735614026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3167814</v>
      </c>
      <c r="E111" s="439">
        <f t="shared" si="1"/>
        <v>157.23187443568943</v>
      </c>
      <c r="F111" s="466">
        <f t="shared" si="2"/>
        <v>98.269921522305893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3171184</v>
      </c>
      <c r="E112" s="439">
        <f t="shared" si="1"/>
        <v>157.39914164798418</v>
      </c>
      <c r="F112" s="466">
        <f t="shared" si="2"/>
        <v>98.374463529990109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3182597</v>
      </c>
      <c r="E113" s="440">
        <f t="shared" si="1"/>
        <v>157.96561663134324</v>
      </c>
      <c r="F113" s="467">
        <f t="shared" si="2"/>
        <v>98.72851039458952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158.64450477730728</v>
      </c>
      <c r="F115" s="469">
        <f>AVERAGE(F108:F113)</f>
        <v>99.152815485817044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8.1963105088568196E-3</v>
      </c>
      <c r="F116" s="423">
        <f>STDEV(F108:F113)/F115</f>
        <v>8.1963105088568404E-3</v>
      </c>
      <c r="I116" s="286"/>
    </row>
    <row r="117" spans="1:10" ht="27" customHeight="1" x14ac:dyDescent="0.4">
      <c r="A117" s="490" t="s">
        <v>78</v>
      </c>
      <c r="B117" s="491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492"/>
      <c r="B118" s="493"/>
      <c r="C118" s="286"/>
      <c r="D118" s="448"/>
      <c r="E118" s="518" t="s">
        <v>123</v>
      </c>
      <c r="F118" s="519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157.23187443568943</v>
      </c>
      <c r="F119" s="470">
        <f>MIN(F108:F113)</f>
        <v>98.269921522305893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160.44871576982442</v>
      </c>
      <c r="F120" s="471">
        <f>MAX(F108:F113)</f>
        <v>100.28044735614026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4" t="str">
        <f>B26</f>
        <v>Trimethoprim</v>
      </c>
      <c r="D124" s="494"/>
      <c r="E124" s="386" t="s">
        <v>127</v>
      </c>
      <c r="F124" s="386"/>
      <c r="G124" s="472">
        <f>F115</f>
        <v>99.152815485817044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98.269921522305893</v>
      </c>
      <c r="E125" s="397" t="s">
        <v>130</v>
      </c>
      <c r="F125" s="472">
        <f>MAX(F108:F113)</f>
        <v>100.28044735614026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5" t="s">
        <v>26</v>
      </c>
      <c r="C127" s="495"/>
      <c r="E127" s="392" t="s">
        <v>27</v>
      </c>
      <c r="F127" s="427"/>
      <c r="G127" s="495" t="s">
        <v>28</v>
      </c>
      <c r="H127" s="495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Sulfamethoxazole SST</vt:lpstr>
      <vt:lpstr>Trimethoprim SST</vt:lpstr>
      <vt:lpstr>Uniformity</vt:lpstr>
      <vt:lpstr>Sulfamethoxazole</vt:lpstr>
      <vt:lpstr>Trimethoprim</vt:lpstr>
      <vt:lpstr>Sulfamethoxazole!Print_Area</vt:lpstr>
      <vt:lpstr>'Sulfamethoxazole SST'!Print_Area</vt:lpstr>
      <vt:lpstr>Trimethoprim!Print_Area</vt:lpstr>
      <vt:lpstr>'Trimethoprim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2018-02-16T08:40:53Z</cp:lastPrinted>
  <dcterms:created xsi:type="dcterms:W3CDTF">2005-07-05T10:19:27Z</dcterms:created>
  <dcterms:modified xsi:type="dcterms:W3CDTF">2018-02-16T08:53:35Z</dcterms:modified>
</cp:coreProperties>
</file>