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55" windowWidth="19815" windowHeight="9405"/>
  </bookViews>
  <sheets>
    <sheet name="Sulfamethoxazole SST" sheetId="7" r:id="rId1"/>
    <sheet name="Trimethoprim SST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7" l="1"/>
  <c r="F51" i="7"/>
  <c r="E51" i="7"/>
  <c r="D51" i="7"/>
  <c r="C51" i="7"/>
  <c r="B51" i="7"/>
  <c r="B52" i="7" s="1"/>
  <c r="B32" i="7"/>
  <c r="F30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4" l="1"/>
  <c r="B116" i="4"/>
  <c r="D100" i="4" s="1"/>
  <c r="B98" i="4"/>
  <c r="F95" i="4"/>
  <c r="D95" i="4"/>
  <c r="B87" i="4"/>
  <c r="F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33" i="2"/>
  <c r="D25" i="2"/>
  <c r="D24" i="2"/>
  <c r="C19" i="2"/>
  <c r="I92" i="4" l="1"/>
  <c r="D101" i="4"/>
  <c r="D102" i="4" s="1"/>
  <c r="B69" i="4"/>
  <c r="I39" i="4"/>
  <c r="D44" i="4"/>
  <c r="F98" i="4"/>
  <c r="F99" i="4" s="1"/>
  <c r="D45" i="4"/>
  <c r="D46" i="4" s="1"/>
  <c r="F45" i="4"/>
  <c r="F46" i="4" s="1"/>
  <c r="I92" i="3"/>
  <c r="D101" i="3"/>
  <c r="G94" i="3" s="1"/>
  <c r="F98" i="3"/>
  <c r="F99" i="3" s="1"/>
  <c r="D97" i="3"/>
  <c r="D98" i="3" s="1"/>
  <c r="D49" i="3"/>
  <c r="D102" i="3"/>
  <c r="D45" i="3"/>
  <c r="I39" i="3"/>
  <c r="E38" i="3"/>
  <c r="D46" i="3"/>
  <c r="G91" i="3"/>
  <c r="E41" i="4"/>
  <c r="G40" i="4"/>
  <c r="D49" i="4"/>
  <c r="G38" i="4"/>
  <c r="G41" i="4"/>
  <c r="E38" i="4"/>
  <c r="C50" i="2"/>
  <c r="D34" i="2"/>
  <c r="D27" i="2"/>
  <c r="D31" i="2"/>
  <c r="D35" i="2"/>
  <c r="D39" i="2"/>
  <c r="D43" i="2"/>
  <c r="C49" i="2"/>
  <c r="E39" i="3"/>
  <c r="F44" i="3"/>
  <c r="F45" i="3" s="1"/>
  <c r="G39" i="3" s="1"/>
  <c r="G92" i="3"/>
  <c r="D97" i="4"/>
  <c r="D98" i="4" s="1"/>
  <c r="D99" i="4" s="1"/>
  <c r="D28" i="2"/>
  <c r="D32" i="2"/>
  <c r="D36" i="2"/>
  <c r="D40" i="2"/>
  <c r="D49" i="2"/>
  <c r="E41" i="3"/>
  <c r="B57" i="3"/>
  <c r="B69" i="3" s="1"/>
  <c r="D29" i="2"/>
  <c r="D37" i="2"/>
  <c r="D41" i="2"/>
  <c r="D26" i="2"/>
  <c r="D30" i="2"/>
  <c r="D38" i="2"/>
  <c r="D42" i="2"/>
  <c r="B49" i="2"/>
  <c r="D50" i="2"/>
  <c r="E40" i="3"/>
  <c r="G93" i="3"/>
  <c r="G91" i="4" l="1"/>
  <c r="G92" i="4"/>
  <c r="G93" i="4"/>
  <c r="G94" i="4"/>
  <c r="E39" i="4"/>
  <c r="E40" i="4"/>
  <c r="E42" i="4" s="1"/>
  <c r="G39" i="4"/>
  <c r="G42" i="4" s="1"/>
  <c r="E94" i="3"/>
  <c r="G95" i="3"/>
  <c r="E92" i="3"/>
  <c r="G38" i="3"/>
  <c r="E93" i="4"/>
  <c r="F46" i="3"/>
  <c r="G41" i="3"/>
  <c r="D99" i="3"/>
  <c r="E93" i="3"/>
  <c r="E91" i="3"/>
  <c r="E92" i="4"/>
  <c r="E94" i="4"/>
  <c r="G40" i="3"/>
  <c r="E42" i="3"/>
  <c r="E91" i="4"/>
  <c r="G95" i="4" l="1"/>
  <c r="D50" i="4"/>
  <c r="G70" i="4" s="1"/>
  <c r="H70" i="4" s="1"/>
  <c r="D52" i="4"/>
  <c r="D50" i="3"/>
  <c r="G69" i="3" s="1"/>
  <c r="H69" i="3" s="1"/>
  <c r="D52" i="3"/>
  <c r="G42" i="3"/>
  <c r="G60" i="3"/>
  <c r="D51" i="3"/>
  <c r="G63" i="3"/>
  <c r="H63" i="3" s="1"/>
  <c r="G61" i="3"/>
  <c r="H61" i="3" s="1"/>
  <c r="E95" i="3"/>
  <c r="D105" i="3"/>
  <c r="D103" i="3"/>
  <c r="D103" i="4"/>
  <c r="E95" i="4"/>
  <c r="D105" i="4"/>
  <c r="G60" i="4" l="1"/>
  <c r="H60" i="4" s="1"/>
  <c r="G63" i="4"/>
  <c r="H63" i="4" s="1"/>
  <c r="G69" i="4"/>
  <c r="H69" i="4" s="1"/>
  <c r="G71" i="4"/>
  <c r="H71" i="4" s="1"/>
  <c r="G65" i="4"/>
  <c r="H65" i="4" s="1"/>
  <c r="G64" i="4"/>
  <c r="H64" i="4" s="1"/>
  <c r="G68" i="4"/>
  <c r="H68" i="4" s="1"/>
  <c r="G67" i="4"/>
  <c r="H67" i="4" s="1"/>
  <c r="D51" i="4"/>
  <c r="G62" i="4"/>
  <c r="H62" i="4" s="1"/>
  <c r="G66" i="4"/>
  <c r="H66" i="4" s="1"/>
  <c r="G61" i="4"/>
  <c r="H61" i="4" s="1"/>
  <c r="G65" i="3"/>
  <c r="H65" i="3" s="1"/>
  <c r="G71" i="3"/>
  <c r="H71" i="3" s="1"/>
  <c r="G70" i="3"/>
  <c r="H70" i="3" s="1"/>
  <c r="G64" i="3"/>
  <c r="H64" i="3" s="1"/>
  <c r="G67" i="3"/>
  <c r="H67" i="3" s="1"/>
  <c r="G62" i="3"/>
  <c r="H62" i="3" s="1"/>
  <c r="G68" i="3"/>
  <c r="H68" i="3" s="1"/>
  <c r="G66" i="3"/>
  <c r="H66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2" i="3" l="1"/>
  <c r="G73" i="3" s="1"/>
  <c r="G72" i="4"/>
  <c r="G73" i="4" s="1"/>
  <c r="G74" i="4"/>
  <c r="G74" i="3"/>
  <c r="E120" i="4"/>
  <c r="E117" i="4"/>
  <c r="F108" i="4"/>
  <c r="E115" i="4"/>
  <c r="E116" i="4" s="1"/>
  <c r="E119" i="4"/>
  <c r="H74" i="4"/>
  <c r="H72" i="4"/>
  <c r="H74" i="3"/>
  <c r="H72" i="3"/>
  <c r="E115" i="3"/>
  <c r="E116" i="3" s="1"/>
  <c r="E119" i="3"/>
  <c r="E120" i="3"/>
  <c r="E117" i="3"/>
  <c r="F108" i="3"/>
  <c r="G76" i="4" l="1"/>
  <c r="H73" i="4"/>
  <c r="F125" i="4"/>
  <c r="F120" i="4"/>
  <c r="F117" i="4"/>
  <c r="D125" i="4"/>
  <c r="F115" i="4"/>
  <c r="F119" i="4"/>
  <c r="G76" i="3"/>
  <c r="H73" i="3"/>
  <c r="F119" i="3"/>
  <c r="F125" i="3"/>
  <c r="F120" i="3"/>
  <c r="F117" i="3"/>
  <c r="D125" i="3"/>
  <c r="F115" i="3"/>
  <c r="G124" i="4" l="1"/>
  <c r="F116" i="4"/>
  <c r="G124" i="3"/>
  <c r="F116" i="3"/>
</calcChain>
</file>

<file path=xl/sharedStrings.xml><?xml version="1.0" encoding="utf-8"?>
<sst xmlns="http://schemas.openxmlformats.org/spreadsheetml/2006/main" count="456" uniqueCount="139">
  <si>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</si>
  <si>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</si>
  <si>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</si>
  <si>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</si>
  <si>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</si>
  <si>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</si>
  <si>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</si>
  <si>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NDQB201802324</t>
  </si>
  <si>
    <t>Weight (mg):</t>
  </si>
  <si>
    <t>Sulfamethoxazole BP 800 MG &amp; Trimethoprim BP 160 MG</t>
  </si>
  <si>
    <t>Standard Conc (mg/mL):</t>
  </si>
  <si>
    <t>Each tablet contains: Sulfamethoxazole BP 800 mg and Trimethoprim BP 160 mg.</t>
  </si>
  <si>
    <t>2018-02-06 16:06:13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</si>
  <si>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</si>
  <si>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</si>
  <si>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</si>
  <si>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</si>
  <si>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</si>
  <si>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</si>
  <si>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</si>
  <si>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</si>
  <si>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</si>
  <si>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</si>
  <si>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</si>
  <si>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</si>
  <si>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</si>
  <si>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</si>
  <si>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</si>
  <si>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</si>
  <si>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</si>
  <si>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</si>
  <si>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</si>
  <si>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</si>
  <si>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</si>
  <si>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</si>
  <si>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</si>
  <si>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</si>
  <si>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</si>
  <si>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</si>
  <si>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</si>
  <si>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</si>
  <si>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</si>
  <si>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</si>
  <si>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</si>
  <si>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</si>
  <si>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</si>
  <si>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</si>
  <si>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</si>
  <si>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</si>
  <si>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</si>
  <si>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</si>
  <si>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</si>
  <si>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</si>
  <si>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</si>
  <si>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</si>
  <si>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</si>
  <si>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</si>
  <si>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</si>
  <si>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</si>
  <si>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</si>
  <si>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</si>
  <si>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</si>
  <si>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</si>
  <si>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</si>
  <si>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</si>
  <si>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</si>
  <si>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</si>
  <si>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</si>
  <si>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</si>
  <si>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</si>
  <si>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</si>
  <si>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</si>
  <si>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</si>
  <si>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</si>
  <si>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</si>
  <si>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</si>
  <si>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</si>
  <si>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</si>
  <si>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</si>
  <si>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</si>
  <si>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</si>
  <si>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</si>
  <si>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</si>
  <si>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</si>
  <si>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</si>
  <si>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</si>
  <si>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</si>
  <si>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</si>
  <si>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</si>
  <si>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</si>
  <si>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</si>
  <si>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</si>
  <si>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</si>
  <si>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</si>
  <si>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</si>
  <si>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</si>
  <si>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</si>
  <si>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</si>
  <si>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</si>
  <si>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</si>
  <si>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</si>
  <si>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</si>
  <si>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</si>
  <si>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</si>
  <si>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</si>
  <si>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</si>
  <si>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</si>
  <si>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</si>
  <si>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</si>
  <si>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</si>
  <si>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</si>
  <si>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</si>
  <si>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</si>
  <si>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</si>
  <si>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</si>
  <si>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</si>
  <si>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</si>
  <si>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</si>
  <si>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</si>
  <si>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</si>
  <si>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</si>
  <si>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</si>
  <si>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</si>
  <si>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</si>
  <si>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</si>
  <si>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</si>
  <si>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</si>
  <si>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</si>
  <si>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</si>
  <si>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</si>
  <si>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</si>
  <si>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r>
      <t xml:space="preserve">The Resolution between Trimethoprim and Sulfamethoxazole peaks should not be </t>
    </r>
    <r>
      <rPr>
        <b/>
        <sz val="12"/>
        <color indexed="8"/>
        <rFont val="Book Antiqua"/>
        <family val="1"/>
      </rPr>
      <t>less than 5.0</t>
    </r>
    <r>
      <rPr>
        <sz val="12"/>
        <color indexed="8"/>
        <rFont val="Book Antiqua"/>
        <family val="1"/>
      </rPr>
      <t xml:space="preserve"> </t>
    </r>
  </si>
  <si>
    <t>RESOLUTION</t>
  </si>
  <si>
    <t>SULFAMETHOXAZOLE</t>
  </si>
  <si>
    <t>TRIMETHOPRIM</t>
  </si>
  <si>
    <t>Sulfamethoxazole</t>
  </si>
  <si>
    <t>S12-6</t>
  </si>
  <si>
    <t>Trimethoprim</t>
  </si>
  <si>
    <t>T7-5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</si>
</sst>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indexed="8"/>
      <name val="Book Antiqua"/>
      <family val="1"/>
    </font>
    <font>
      <sz val="12"/>
      <color indexed="8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8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6" fillId="2" borderId="0" xfId="2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8" fillId="2" borderId="0" xfId="3" applyFill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1" fillId="2" borderId="0" xfId="3" applyFont="1" applyFill="1" applyAlignment="1">
      <alignment horizontal="center"/>
    </xf>
  </cellXfs>
  <cellStyles count="4">
    <cellStyle name="Normal" xfId="0" builtinId="0"/>
    <cellStyle name="Normal 2" xfId="2"/>
    <cellStyle name="Normal 3" xfId="1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2" workbookViewId="0">
      <selection activeCell="F52" sqref="F52"/>
    </sheetView>
  </sheetViews>
  <sheetFormatPr defaultRowHeight="13.5" x14ac:dyDescent="0.25"/>
  <cols>
    <col min="1" max="1" width="27.5703125" style="477" customWidth="1"/>
    <col min="2" max="2" width="20.42578125" style="477" customWidth="1"/>
    <col min="3" max="3" width="31.85546875" style="477" customWidth="1"/>
    <col min="4" max="4" width="25.85546875" style="477" customWidth="1"/>
    <col min="5" max="5" width="25.7109375" style="477" customWidth="1"/>
    <col min="6" max="6" width="23.140625" style="477" customWidth="1"/>
    <col min="7" max="7" width="28.42578125" style="477" customWidth="1"/>
    <col min="8" max="8" width="21.5703125" style="477" customWidth="1"/>
    <col min="9" max="9" width="9.140625" style="477" customWidth="1"/>
    <col min="10" max="16384" width="9.140625" style="514"/>
  </cols>
  <sheetData>
    <row r="14" spans="1:6" ht="15" customHeight="1" x14ac:dyDescent="0.3">
      <c r="A14" s="476"/>
      <c r="C14" s="478"/>
      <c r="F14" s="478"/>
    </row>
    <row r="15" spans="1:6" ht="18.75" customHeight="1" x14ac:dyDescent="0.3">
      <c r="A15" s="479" t="s">
        <v>0</v>
      </c>
      <c r="B15" s="479"/>
      <c r="C15" s="479"/>
      <c r="D15" s="479"/>
      <c r="E15" s="479"/>
    </row>
    <row r="16" spans="1:6" ht="16.5" customHeight="1" x14ac:dyDescent="0.3">
      <c r="A16" s="480" t="s">
        <v>1</v>
      </c>
      <c r="B16" s="481" t="s">
        <v>2</v>
      </c>
    </row>
    <row r="17" spans="1:7" ht="16.5" customHeight="1" x14ac:dyDescent="0.3">
      <c r="A17" s="482" t="s">
        <v>3</v>
      </c>
      <c r="B17" s="482" t="s">
        <v>5</v>
      </c>
      <c r="D17" s="483"/>
      <c r="E17" s="484"/>
    </row>
    <row r="18" spans="1:7" ht="16.5" customHeight="1" x14ac:dyDescent="0.3">
      <c r="A18" s="485" t="s">
        <v>4</v>
      </c>
      <c r="B18" s="482" t="s">
        <v>133</v>
      </c>
      <c r="C18" s="484"/>
      <c r="D18" s="484"/>
      <c r="E18" s="484"/>
    </row>
    <row r="19" spans="1:7" ht="16.5" customHeight="1" x14ac:dyDescent="0.3">
      <c r="A19" s="485" t="s">
        <v>6</v>
      </c>
      <c r="B19" s="486">
        <v>99.02</v>
      </c>
      <c r="C19" s="484"/>
      <c r="D19" s="484"/>
      <c r="E19" s="484"/>
    </row>
    <row r="20" spans="1:7" ht="16.5" customHeight="1" x14ac:dyDescent="0.3">
      <c r="A20" s="482" t="s">
        <v>8</v>
      </c>
      <c r="B20" s="486">
        <v>16.010000000000002</v>
      </c>
      <c r="C20" s="484"/>
      <c r="D20" s="484"/>
      <c r="E20" s="484"/>
    </row>
    <row r="21" spans="1:7" ht="16.5" customHeight="1" x14ac:dyDescent="0.3">
      <c r="A21" s="482" t="s">
        <v>10</v>
      </c>
      <c r="B21" s="487">
        <v>0.16</v>
      </c>
      <c r="C21" s="484"/>
      <c r="D21" s="484"/>
      <c r="E21" s="484"/>
    </row>
    <row r="22" spans="1:7" ht="15.75" customHeight="1" x14ac:dyDescent="0.25">
      <c r="A22" s="484"/>
      <c r="B22" s="484"/>
      <c r="C22" s="484"/>
      <c r="D22" s="484"/>
      <c r="E22" s="484"/>
    </row>
    <row r="23" spans="1:7" ht="16.5" customHeight="1" x14ac:dyDescent="0.3">
      <c r="A23" s="488" t="s">
        <v>13</v>
      </c>
      <c r="B23" s="489" t="s">
        <v>14</v>
      </c>
      <c r="C23" s="488" t="s">
        <v>15</v>
      </c>
      <c r="D23" s="488" t="s">
        <v>16</v>
      </c>
      <c r="E23" s="488" t="s">
        <v>17</v>
      </c>
      <c r="F23" s="488" t="s">
        <v>132</v>
      </c>
      <c r="G23" s="522"/>
    </row>
    <row r="24" spans="1:7" ht="16.5" customHeight="1" x14ac:dyDescent="0.3">
      <c r="A24" s="490">
        <v>1</v>
      </c>
      <c r="B24" s="491">
        <v>37378497</v>
      </c>
      <c r="C24" s="491">
        <v>7393.29</v>
      </c>
      <c r="D24" s="492">
        <v>1.23</v>
      </c>
      <c r="E24" s="493">
        <v>10.66</v>
      </c>
      <c r="F24" s="493">
        <v>15.41</v>
      </c>
      <c r="G24" s="512"/>
    </row>
    <row r="25" spans="1:7" ht="16.5" customHeight="1" x14ac:dyDescent="0.3">
      <c r="A25" s="490">
        <v>2</v>
      </c>
      <c r="B25" s="491">
        <v>37507183</v>
      </c>
      <c r="C25" s="491">
        <v>7348.34</v>
      </c>
      <c r="D25" s="492">
        <v>1.23</v>
      </c>
      <c r="E25" s="492">
        <v>10.67</v>
      </c>
      <c r="F25" s="492">
        <v>15.37</v>
      </c>
      <c r="G25" s="512"/>
    </row>
    <row r="26" spans="1:7" ht="16.5" customHeight="1" x14ac:dyDescent="0.3">
      <c r="A26" s="490">
        <v>3</v>
      </c>
      <c r="B26" s="491">
        <v>37440210</v>
      </c>
      <c r="C26" s="491">
        <v>7358.74</v>
      </c>
      <c r="D26" s="492">
        <v>1.23</v>
      </c>
      <c r="E26" s="492">
        <v>10.67</v>
      </c>
      <c r="F26" s="492">
        <v>15.36</v>
      </c>
      <c r="G26" s="512"/>
    </row>
    <row r="27" spans="1:7" ht="16.5" customHeight="1" x14ac:dyDescent="0.3">
      <c r="A27" s="490">
        <v>4</v>
      </c>
      <c r="B27" s="491">
        <v>37471120</v>
      </c>
      <c r="C27" s="491">
        <v>7363.99</v>
      </c>
      <c r="D27" s="492">
        <v>1.22</v>
      </c>
      <c r="E27" s="492">
        <v>10.67</v>
      </c>
      <c r="F27" s="492">
        <v>15.37</v>
      </c>
      <c r="G27" s="512"/>
    </row>
    <row r="28" spans="1:7" ht="16.5" customHeight="1" x14ac:dyDescent="0.3">
      <c r="A28" s="490">
        <v>5</v>
      </c>
      <c r="B28" s="491">
        <v>37223552</v>
      </c>
      <c r="C28" s="491">
        <v>7357.34</v>
      </c>
      <c r="D28" s="492">
        <v>1.24</v>
      </c>
      <c r="E28" s="492">
        <v>10.67</v>
      </c>
      <c r="F28" s="492">
        <v>15.36</v>
      </c>
      <c r="G28" s="512"/>
    </row>
    <row r="29" spans="1:7" ht="16.5" customHeight="1" x14ac:dyDescent="0.3">
      <c r="A29" s="490">
        <v>6</v>
      </c>
      <c r="B29" s="494">
        <v>37441567</v>
      </c>
      <c r="C29" s="494">
        <v>7368.22</v>
      </c>
      <c r="D29" s="495">
        <v>1.23</v>
      </c>
      <c r="E29" s="495">
        <v>10.68</v>
      </c>
      <c r="F29" s="495">
        <v>15.37</v>
      </c>
      <c r="G29" s="512"/>
    </row>
    <row r="30" spans="1:7" ht="16.5" customHeight="1" x14ac:dyDescent="0.3">
      <c r="A30" s="496" t="s">
        <v>18</v>
      </c>
      <c r="B30" s="497">
        <f>AVERAGE(B24:B29)</f>
        <v>37410354.833333336</v>
      </c>
      <c r="C30" s="498">
        <f>AVERAGE(C24:C29)</f>
        <v>7364.9866666666667</v>
      </c>
      <c r="D30" s="499">
        <f>AVERAGE(D24:D29)</f>
        <v>1.2300000000000002</v>
      </c>
      <c r="E30" s="499">
        <f>AVERAGE(E24:E29)</f>
        <v>10.670000000000002</v>
      </c>
      <c r="F30" s="499">
        <f>AVERAGE(F24:F29)</f>
        <v>15.373333333333335</v>
      </c>
      <c r="G30" s="522"/>
    </row>
    <row r="31" spans="1:7" ht="16.5" customHeight="1" x14ac:dyDescent="0.3">
      <c r="A31" s="500" t="s">
        <v>19</v>
      </c>
      <c r="B31" s="501">
        <f>(STDEV(B24:B29)/B30)</f>
        <v>2.6955189150006278E-3</v>
      </c>
      <c r="C31" s="502"/>
      <c r="D31" s="502"/>
      <c r="E31" s="503"/>
    </row>
    <row r="32" spans="1:7" s="477" customFormat="1" ht="16.5" customHeight="1" x14ac:dyDescent="0.3">
      <c r="A32" s="504" t="s">
        <v>20</v>
      </c>
      <c r="B32" s="505">
        <f>COUNT(B24:B29)</f>
        <v>6</v>
      </c>
      <c r="C32" s="506"/>
      <c r="D32" s="507"/>
      <c r="E32" s="508"/>
    </row>
    <row r="33" spans="1:6" s="477" customFormat="1" ht="15.75" customHeight="1" x14ac:dyDescent="0.25">
      <c r="A33" s="484"/>
      <c r="B33" s="484"/>
      <c r="C33" s="484"/>
      <c r="D33" s="484"/>
      <c r="E33" s="484"/>
    </row>
    <row r="34" spans="1:6" s="477" customFormat="1" ht="16.5" customHeight="1" x14ac:dyDescent="0.3">
      <c r="A34" s="485" t="s">
        <v>21</v>
      </c>
      <c r="B34" s="509" t="s">
        <v>22</v>
      </c>
      <c r="C34" s="510"/>
      <c r="D34" s="510"/>
      <c r="E34" s="510"/>
    </row>
    <row r="35" spans="1:6" ht="16.5" customHeight="1" x14ac:dyDescent="0.3">
      <c r="A35" s="485"/>
      <c r="B35" s="509" t="s">
        <v>23</v>
      </c>
      <c r="C35" s="510"/>
      <c r="D35" s="510"/>
      <c r="E35" s="510"/>
    </row>
    <row r="36" spans="1:6" ht="16.5" customHeight="1" x14ac:dyDescent="0.3">
      <c r="A36" s="485"/>
      <c r="B36" s="509" t="s">
        <v>24</v>
      </c>
      <c r="C36" s="510"/>
      <c r="D36" s="510"/>
      <c r="E36" s="510"/>
    </row>
    <row r="37" spans="1:6" ht="15.75" customHeight="1" x14ac:dyDescent="0.3">
      <c r="A37" s="484"/>
      <c r="B37" s="426" t="s">
        <v>131</v>
      </c>
      <c r="C37" s="484"/>
      <c r="D37" s="484"/>
      <c r="E37" s="484"/>
    </row>
    <row r="38" spans="1:6" ht="16.5" customHeight="1" x14ac:dyDescent="0.3">
      <c r="A38" s="480" t="s">
        <v>1</v>
      </c>
      <c r="B38" s="481" t="s">
        <v>25</v>
      </c>
    </row>
    <row r="39" spans="1:6" ht="16.5" customHeight="1" x14ac:dyDescent="0.3">
      <c r="A39" s="485" t="s">
        <v>4</v>
      </c>
      <c r="B39" s="482" t="s">
        <v>133</v>
      </c>
      <c r="C39" s="484"/>
      <c r="D39" s="484"/>
      <c r="E39" s="484"/>
    </row>
    <row r="40" spans="1:6" ht="16.5" customHeight="1" x14ac:dyDescent="0.3">
      <c r="A40" s="485" t="s">
        <v>6</v>
      </c>
      <c r="B40" s="486">
        <v>99.02</v>
      </c>
      <c r="C40" s="484"/>
      <c r="D40" s="484"/>
      <c r="E40" s="484"/>
    </row>
    <row r="41" spans="1:6" ht="16.5" customHeight="1" x14ac:dyDescent="0.3">
      <c r="A41" s="482" t="s">
        <v>8</v>
      </c>
      <c r="B41" s="486">
        <v>16.010000000000002</v>
      </c>
      <c r="C41" s="484"/>
      <c r="D41" s="484"/>
      <c r="E41" s="484"/>
    </row>
    <row r="42" spans="1:6" ht="16.5" customHeight="1" x14ac:dyDescent="0.3">
      <c r="A42" s="482" t="s">
        <v>10</v>
      </c>
      <c r="B42" s="487">
        <v>0.16</v>
      </c>
      <c r="C42" s="484"/>
      <c r="D42" s="484"/>
      <c r="E42" s="484"/>
    </row>
    <row r="43" spans="1:6" ht="15.75" customHeight="1" x14ac:dyDescent="0.25">
      <c r="A43" s="484"/>
      <c r="B43" s="484"/>
      <c r="C43" s="484"/>
      <c r="D43" s="484"/>
      <c r="E43" s="484"/>
    </row>
    <row r="44" spans="1:6" ht="16.5" customHeight="1" x14ac:dyDescent="0.3">
      <c r="A44" s="488" t="s">
        <v>13</v>
      </c>
      <c r="B44" s="489" t="s">
        <v>14</v>
      </c>
      <c r="C44" s="488" t="s">
        <v>15</v>
      </c>
      <c r="D44" s="488" t="s">
        <v>16</v>
      </c>
      <c r="E44" s="488" t="s">
        <v>17</v>
      </c>
      <c r="F44" s="488" t="s">
        <v>132</v>
      </c>
    </row>
    <row r="45" spans="1:6" ht="16.5" customHeight="1" x14ac:dyDescent="0.3">
      <c r="A45" s="490">
        <v>1</v>
      </c>
      <c r="B45" s="491">
        <v>37378497</v>
      </c>
      <c r="C45" s="491">
        <v>7393.29</v>
      </c>
      <c r="D45" s="492">
        <v>1.23</v>
      </c>
      <c r="E45" s="493">
        <v>10.66</v>
      </c>
      <c r="F45" s="493">
        <v>15.41</v>
      </c>
    </row>
    <row r="46" spans="1:6" ht="16.5" customHeight="1" x14ac:dyDescent="0.3">
      <c r="A46" s="490">
        <v>2</v>
      </c>
      <c r="B46" s="491">
        <v>37507183</v>
      </c>
      <c r="C46" s="491">
        <v>7348.34</v>
      </c>
      <c r="D46" s="492">
        <v>1.23</v>
      </c>
      <c r="E46" s="492">
        <v>10.67</v>
      </c>
      <c r="F46" s="492">
        <v>15.37</v>
      </c>
    </row>
    <row r="47" spans="1:6" ht="16.5" customHeight="1" x14ac:dyDescent="0.3">
      <c r="A47" s="490">
        <v>3</v>
      </c>
      <c r="B47" s="491">
        <v>37440210</v>
      </c>
      <c r="C47" s="491">
        <v>7358.74</v>
      </c>
      <c r="D47" s="492">
        <v>1.23</v>
      </c>
      <c r="E47" s="492">
        <v>10.67</v>
      </c>
      <c r="F47" s="492">
        <v>15.36</v>
      </c>
    </row>
    <row r="48" spans="1:6" ht="16.5" customHeight="1" x14ac:dyDescent="0.3">
      <c r="A48" s="490">
        <v>4</v>
      </c>
      <c r="B48" s="491">
        <v>37471120</v>
      </c>
      <c r="C48" s="491">
        <v>7363.99</v>
      </c>
      <c r="D48" s="492">
        <v>1.22</v>
      </c>
      <c r="E48" s="492">
        <v>10.67</v>
      </c>
      <c r="F48" s="492">
        <v>15.37</v>
      </c>
    </row>
    <row r="49" spans="1:7" ht="16.5" customHeight="1" x14ac:dyDescent="0.3">
      <c r="A49" s="490">
        <v>5</v>
      </c>
      <c r="B49" s="491">
        <v>37223552</v>
      </c>
      <c r="C49" s="491">
        <v>7357.34</v>
      </c>
      <c r="D49" s="492">
        <v>1.24</v>
      </c>
      <c r="E49" s="492">
        <v>10.67</v>
      </c>
      <c r="F49" s="492">
        <v>15.36</v>
      </c>
    </row>
    <row r="50" spans="1:7" ht="16.5" customHeight="1" x14ac:dyDescent="0.3">
      <c r="A50" s="490">
        <v>6</v>
      </c>
      <c r="B50" s="494">
        <v>37441567</v>
      </c>
      <c r="C50" s="494">
        <v>7368.22</v>
      </c>
      <c r="D50" s="495">
        <v>1.23</v>
      </c>
      <c r="E50" s="495">
        <v>10.68</v>
      </c>
      <c r="F50" s="495">
        <v>15.37</v>
      </c>
    </row>
    <row r="51" spans="1:7" ht="16.5" customHeight="1" x14ac:dyDescent="0.3">
      <c r="A51" s="496" t="s">
        <v>18</v>
      </c>
      <c r="B51" s="497">
        <f>AVERAGE(B45:B50)</f>
        <v>37410354.833333336</v>
      </c>
      <c r="C51" s="498">
        <f>AVERAGE(C45:C50)</f>
        <v>7364.9866666666667</v>
      </c>
      <c r="D51" s="499">
        <f>AVERAGE(D45:D50)</f>
        <v>1.2300000000000002</v>
      </c>
      <c r="E51" s="499">
        <f>AVERAGE(E45:E50)</f>
        <v>10.670000000000002</v>
      </c>
      <c r="F51" s="499">
        <f>AVERAGE(F45:F50)</f>
        <v>15.373333333333335</v>
      </c>
    </row>
    <row r="52" spans="1:7" ht="16.5" customHeight="1" x14ac:dyDescent="0.3">
      <c r="A52" s="500" t="s">
        <v>19</v>
      </c>
      <c r="B52" s="501">
        <f>(STDEV(B45:B50)/B51)</f>
        <v>2.6955189150006278E-3</v>
      </c>
      <c r="C52" s="502"/>
      <c r="D52" s="502"/>
      <c r="E52" s="503"/>
    </row>
    <row r="53" spans="1:7" s="477" customFormat="1" ht="16.5" customHeight="1" x14ac:dyDescent="0.3">
      <c r="A53" s="504" t="s">
        <v>20</v>
      </c>
      <c r="B53" s="505">
        <f>COUNT(B45:B50)</f>
        <v>6</v>
      </c>
      <c r="C53" s="506"/>
      <c r="D53" s="507"/>
      <c r="E53" s="508"/>
    </row>
    <row r="54" spans="1:7" s="477" customFormat="1" ht="15.75" customHeight="1" x14ac:dyDescent="0.25">
      <c r="A54" s="484"/>
      <c r="B54" s="484"/>
      <c r="C54" s="484"/>
      <c r="D54" s="484"/>
      <c r="E54" s="484"/>
    </row>
    <row r="55" spans="1:7" s="477" customFormat="1" ht="16.5" customHeight="1" x14ac:dyDescent="0.3">
      <c r="A55" s="485" t="s">
        <v>21</v>
      </c>
      <c r="B55" s="509" t="s">
        <v>22</v>
      </c>
      <c r="C55" s="510"/>
      <c r="D55" s="510"/>
      <c r="E55" s="510"/>
    </row>
    <row r="56" spans="1:7" ht="16.5" customHeight="1" x14ac:dyDescent="0.3">
      <c r="A56" s="485"/>
      <c r="B56" s="509" t="s">
        <v>23</v>
      </c>
      <c r="C56" s="510"/>
      <c r="D56" s="510"/>
      <c r="E56" s="510"/>
    </row>
    <row r="57" spans="1:7" ht="16.5" customHeight="1" x14ac:dyDescent="0.3">
      <c r="A57" s="485"/>
      <c r="B57" s="509" t="s">
        <v>24</v>
      </c>
      <c r="C57" s="510"/>
      <c r="D57" s="510"/>
      <c r="E57" s="510"/>
    </row>
    <row r="58" spans="1:7" ht="14.25" customHeight="1" thickBot="1" x14ac:dyDescent="0.35">
      <c r="A58" s="511"/>
      <c r="B58" s="426" t="s">
        <v>131</v>
      </c>
      <c r="D58" s="513"/>
      <c r="F58" s="514"/>
      <c r="G58" s="514"/>
    </row>
    <row r="59" spans="1:7" ht="15" customHeight="1" x14ac:dyDescent="0.3">
      <c r="B59" s="515" t="s">
        <v>26</v>
      </c>
      <c r="C59" s="515"/>
      <c r="E59" s="516" t="s">
        <v>27</v>
      </c>
      <c r="F59" s="517"/>
      <c r="G59" s="516" t="s">
        <v>28</v>
      </c>
    </row>
    <row r="60" spans="1:7" ht="15" customHeight="1" x14ac:dyDescent="0.3">
      <c r="A60" s="518" t="s">
        <v>29</v>
      </c>
      <c r="B60" s="519"/>
      <c r="C60" s="519"/>
      <c r="E60" s="519"/>
      <c r="G60" s="519"/>
    </row>
    <row r="61" spans="1:7" ht="15" customHeight="1" x14ac:dyDescent="0.3">
      <c r="A61" s="518" t="s">
        <v>30</v>
      </c>
      <c r="B61" s="520"/>
      <c r="C61" s="520"/>
      <c r="E61" s="520"/>
      <c r="G61" s="52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40" sqref="C40"/>
    </sheetView>
  </sheetViews>
  <sheetFormatPr defaultRowHeight="13.5" x14ac:dyDescent="0.25"/>
  <cols>
    <col min="1" max="1" width="27.5703125" style="477" customWidth="1"/>
    <col min="2" max="2" width="20.42578125" style="477" customWidth="1"/>
    <col min="3" max="3" width="31.85546875" style="477" customWidth="1"/>
    <col min="4" max="4" width="25.85546875" style="477" customWidth="1"/>
    <col min="5" max="5" width="25.7109375" style="477" customWidth="1"/>
    <col min="6" max="6" width="23.140625" style="477" customWidth="1"/>
    <col min="7" max="7" width="28.42578125" style="477" customWidth="1"/>
    <col min="8" max="8" width="21.5703125" style="477" customWidth="1"/>
    <col min="9" max="9" width="9.140625" style="477" customWidth="1"/>
    <col min="10" max="16384" width="9.140625" style="514"/>
  </cols>
  <sheetData>
    <row r="14" spans="1:6" ht="15" customHeight="1" x14ac:dyDescent="0.3">
      <c r="A14" s="476"/>
      <c r="C14" s="478"/>
      <c r="F14" s="478"/>
    </row>
    <row r="15" spans="1:6" ht="18.75" customHeight="1" x14ac:dyDescent="0.3">
      <c r="A15" s="479" t="s">
        <v>0</v>
      </c>
      <c r="B15" s="479"/>
      <c r="C15" s="479"/>
      <c r="D15" s="479"/>
      <c r="E15" s="479"/>
    </row>
    <row r="16" spans="1:6" ht="16.5" customHeight="1" x14ac:dyDescent="0.3">
      <c r="A16" s="480" t="s">
        <v>1</v>
      </c>
      <c r="B16" s="481" t="s">
        <v>2</v>
      </c>
    </row>
    <row r="17" spans="1:5" ht="16.5" customHeight="1" x14ac:dyDescent="0.3">
      <c r="A17" s="482" t="s">
        <v>3</v>
      </c>
      <c r="B17" s="482" t="s">
        <v>5</v>
      </c>
      <c r="D17" s="483"/>
      <c r="E17" s="484"/>
    </row>
    <row r="18" spans="1:5" ht="16.5" customHeight="1" x14ac:dyDescent="0.3">
      <c r="A18" s="485" t="s">
        <v>4</v>
      </c>
      <c r="B18" s="482" t="s">
        <v>134</v>
      </c>
      <c r="C18" s="484"/>
      <c r="D18" s="484"/>
      <c r="E18" s="484"/>
    </row>
    <row r="19" spans="1:5" ht="16.5" customHeight="1" x14ac:dyDescent="0.3">
      <c r="A19" s="485" t="s">
        <v>6</v>
      </c>
      <c r="B19" s="486">
        <v>99.75</v>
      </c>
      <c r="C19" s="484"/>
      <c r="D19" s="484"/>
      <c r="E19" s="484"/>
    </row>
    <row r="20" spans="1:5" ht="16.5" customHeight="1" x14ac:dyDescent="0.3">
      <c r="A20" s="482" t="s">
        <v>8</v>
      </c>
      <c r="B20" s="486">
        <v>19.8</v>
      </c>
      <c r="C20" s="484"/>
      <c r="D20" s="484"/>
      <c r="E20" s="484"/>
    </row>
    <row r="21" spans="1:5" ht="16.5" customHeight="1" x14ac:dyDescent="0.3">
      <c r="A21" s="482" t="s">
        <v>10</v>
      </c>
      <c r="B21" s="487">
        <v>3.2000000000000001E-2</v>
      </c>
      <c r="C21" s="484"/>
      <c r="D21" s="484"/>
      <c r="E21" s="484"/>
    </row>
    <row r="22" spans="1:5" ht="15.75" customHeight="1" x14ac:dyDescent="0.25">
      <c r="A22" s="484"/>
      <c r="B22" s="484"/>
      <c r="C22" s="484"/>
      <c r="D22" s="484"/>
      <c r="E22" s="484"/>
    </row>
    <row r="23" spans="1:5" ht="16.5" customHeight="1" x14ac:dyDescent="0.3">
      <c r="A23" s="488" t="s">
        <v>13</v>
      </c>
      <c r="B23" s="489" t="s">
        <v>14</v>
      </c>
      <c r="C23" s="488" t="s">
        <v>15</v>
      </c>
      <c r="D23" s="488" t="s">
        <v>16</v>
      </c>
      <c r="E23" s="488" t="s">
        <v>17</v>
      </c>
    </row>
    <row r="24" spans="1:5" ht="16.5" customHeight="1" x14ac:dyDescent="0.3">
      <c r="A24" s="490">
        <v>1</v>
      </c>
      <c r="B24" s="491">
        <v>2821353</v>
      </c>
      <c r="C24" s="491">
        <v>5321.44</v>
      </c>
      <c r="D24" s="492">
        <v>1.33</v>
      </c>
      <c r="E24" s="493">
        <v>4.8099999999999996</v>
      </c>
    </row>
    <row r="25" spans="1:5" ht="16.5" customHeight="1" x14ac:dyDescent="0.3">
      <c r="A25" s="490">
        <v>2</v>
      </c>
      <c r="B25" s="491">
        <v>2828408</v>
      </c>
      <c r="C25" s="491">
        <v>5329.98</v>
      </c>
      <c r="D25" s="492">
        <v>1.34</v>
      </c>
      <c r="E25" s="492">
        <v>4.8099999999999996</v>
      </c>
    </row>
    <row r="26" spans="1:5" ht="16.5" customHeight="1" x14ac:dyDescent="0.3">
      <c r="A26" s="490">
        <v>3</v>
      </c>
      <c r="B26" s="491">
        <v>2824856</v>
      </c>
      <c r="C26" s="491">
        <v>5327.25</v>
      </c>
      <c r="D26" s="492">
        <v>1.29</v>
      </c>
      <c r="E26" s="492">
        <v>4.82</v>
      </c>
    </row>
    <row r="27" spans="1:5" ht="16.5" customHeight="1" x14ac:dyDescent="0.3">
      <c r="A27" s="490">
        <v>4</v>
      </c>
      <c r="B27" s="491">
        <v>2826005</v>
      </c>
      <c r="C27" s="491">
        <v>5335.34</v>
      </c>
      <c r="D27" s="492">
        <v>1.33</v>
      </c>
      <c r="E27" s="492">
        <v>4.82</v>
      </c>
    </row>
    <row r="28" spans="1:5" ht="16.5" customHeight="1" x14ac:dyDescent="0.3">
      <c r="A28" s="490">
        <v>5</v>
      </c>
      <c r="B28" s="491">
        <v>2812157</v>
      </c>
      <c r="C28" s="491">
        <v>5352.03</v>
      </c>
      <c r="D28" s="492">
        <v>1.29</v>
      </c>
      <c r="E28" s="492">
        <v>4.82</v>
      </c>
    </row>
    <row r="29" spans="1:5" ht="16.5" customHeight="1" x14ac:dyDescent="0.3">
      <c r="A29" s="490">
        <v>6</v>
      </c>
      <c r="B29" s="494">
        <v>2826128</v>
      </c>
      <c r="C29" s="494">
        <v>5337.33</v>
      </c>
      <c r="D29" s="495">
        <v>1.32</v>
      </c>
      <c r="E29" s="495">
        <v>4.82</v>
      </c>
    </row>
    <row r="30" spans="1:5" ht="16.5" customHeight="1" x14ac:dyDescent="0.3">
      <c r="A30" s="496" t="s">
        <v>18</v>
      </c>
      <c r="B30" s="497">
        <f>AVERAGE(B24:B29)</f>
        <v>2823151.1666666665</v>
      </c>
      <c r="C30" s="498">
        <f>AVERAGE(C24:C29)</f>
        <v>5333.8949999999995</v>
      </c>
      <c r="D30" s="499">
        <f>AVERAGE(D24:D29)</f>
        <v>1.3166666666666667</v>
      </c>
      <c r="E30" s="499">
        <f>AVERAGE(E24:E29)</f>
        <v>4.8166666666666664</v>
      </c>
    </row>
    <row r="31" spans="1:5" ht="16.5" customHeight="1" x14ac:dyDescent="0.3">
      <c r="A31" s="500" t="s">
        <v>19</v>
      </c>
      <c r="B31" s="501">
        <f>(STDEV(B24:B29)/B30)</f>
        <v>2.0754152018626184E-3</v>
      </c>
      <c r="C31" s="502"/>
      <c r="D31" s="502"/>
      <c r="E31" s="503"/>
    </row>
    <row r="32" spans="1:5" s="477" customFormat="1" ht="16.5" customHeight="1" x14ac:dyDescent="0.3">
      <c r="A32" s="504" t="s">
        <v>20</v>
      </c>
      <c r="B32" s="505">
        <f>COUNT(B24:B29)</f>
        <v>6</v>
      </c>
      <c r="C32" s="506"/>
      <c r="D32" s="507"/>
      <c r="E32" s="508"/>
    </row>
    <row r="33" spans="1:5" s="477" customFormat="1" ht="15.75" customHeight="1" x14ac:dyDescent="0.25">
      <c r="A33" s="484"/>
      <c r="B33" s="484"/>
      <c r="C33" s="484"/>
      <c r="D33" s="484"/>
      <c r="E33" s="484"/>
    </row>
    <row r="34" spans="1:5" s="477" customFormat="1" ht="16.5" customHeight="1" x14ac:dyDescent="0.3">
      <c r="A34" s="485" t="s">
        <v>21</v>
      </c>
      <c r="B34" s="509" t="s">
        <v>22</v>
      </c>
      <c r="C34" s="510"/>
      <c r="D34" s="510"/>
      <c r="E34" s="510"/>
    </row>
    <row r="35" spans="1:5" ht="16.5" customHeight="1" x14ac:dyDescent="0.3">
      <c r="A35" s="485"/>
      <c r="B35" s="509" t="s">
        <v>23</v>
      </c>
      <c r="C35" s="510"/>
      <c r="D35" s="510"/>
      <c r="E35" s="510"/>
    </row>
    <row r="36" spans="1:5" ht="16.5" customHeight="1" x14ac:dyDescent="0.3">
      <c r="A36" s="485"/>
      <c r="B36" s="509" t="s">
        <v>24</v>
      </c>
      <c r="C36" s="510"/>
      <c r="D36" s="510"/>
      <c r="E36" s="510"/>
    </row>
    <row r="37" spans="1:5" ht="15.75" customHeight="1" x14ac:dyDescent="0.25">
      <c r="A37" s="484"/>
      <c r="B37" s="484"/>
      <c r="C37" s="484"/>
      <c r="D37" s="484"/>
      <c r="E37" s="484"/>
    </row>
    <row r="38" spans="1:5" ht="16.5" customHeight="1" x14ac:dyDescent="0.3">
      <c r="A38" s="480" t="s">
        <v>1</v>
      </c>
      <c r="B38" s="481" t="s">
        <v>25</v>
      </c>
    </row>
    <row r="39" spans="1:5" ht="16.5" customHeight="1" x14ac:dyDescent="0.3">
      <c r="A39" s="485" t="s">
        <v>4</v>
      </c>
      <c r="B39" s="482" t="s">
        <v>134</v>
      </c>
      <c r="C39" s="484"/>
      <c r="D39" s="484"/>
      <c r="E39" s="484"/>
    </row>
    <row r="40" spans="1:5" ht="16.5" customHeight="1" x14ac:dyDescent="0.3">
      <c r="A40" s="485" t="s">
        <v>6</v>
      </c>
      <c r="B40" s="486">
        <v>99.75</v>
      </c>
      <c r="C40" s="484"/>
      <c r="D40" s="484"/>
      <c r="E40" s="484"/>
    </row>
    <row r="41" spans="1:5" ht="16.5" customHeight="1" x14ac:dyDescent="0.3">
      <c r="A41" s="482" t="s">
        <v>8</v>
      </c>
      <c r="B41" s="486">
        <v>19.8</v>
      </c>
      <c r="C41" s="484"/>
      <c r="D41" s="484"/>
      <c r="E41" s="484"/>
    </row>
    <row r="42" spans="1:5" ht="16.5" customHeight="1" x14ac:dyDescent="0.3">
      <c r="A42" s="482" t="s">
        <v>10</v>
      </c>
      <c r="B42" s="487">
        <v>3.2000000000000001E-2</v>
      </c>
      <c r="C42" s="484"/>
      <c r="D42" s="484"/>
      <c r="E42" s="484"/>
    </row>
    <row r="43" spans="1:5" ht="15.75" customHeight="1" x14ac:dyDescent="0.25">
      <c r="A43" s="484"/>
      <c r="B43" s="484"/>
      <c r="C43" s="484"/>
      <c r="D43" s="484"/>
      <c r="E43" s="484"/>
    </row>
    <row r="44" spans="1:5" ht="16.5" customHeight="1" x14ac:dyDescent="0.3">
      <c r="A44" s="488" t="s">
        <v>13</v>
      </c>
      <c r="B44" s="489" t="s">
        <v>14</v>
      </c>
      <c r="C44" s="488" t="s">
        <v>15</v>
      </c>
      <c r="D44" s="488" t="s">
        <v>16</v>
      </c>
      <c r="E44" s="488" t="s">
        <v>17</v>
      </c>
    </row>
    <row r="45" spans="1:5" ht="16.5" customHeight="1" x14ac:dyDescent="0.3">
      <c r="A45" s="490">
        <v>1</v>
      </c>
      <c r="B45" s="491">
        <v>2821353</v>
      </c>
      <c r="C45" s="491">
        <v>5321.44</v>
      </c>
      <c r="D45" s="492">
        <v>1.33</v>
      </c>
      <c r="E45" s="493">
        <v>4.8099999999999996</v>
      </c>
    </row>
    <row r="46" spans="1:5" ht="16.5" customHeight="1" x14ac:dyDescent="0.3">
      <c r="A46" s="490">
        <v>2</v>
      </c>
      <c r="B46" s="491">
        <v>2828408</v>
      </c>
      <c r="C46" s="491">
        <v>5329.98</v>
      </c>
      <c r="D46" s="492">
        <v>1.34</v>
      </c>
      <c r="E46" s="492">
        <v>4.8099999999999996</v>
      </c>
    </row>
    <row r="47" spans="1:5" ht="16.5" customHeight="1" x14ac:dyDescent="0.3">
      <c r="A47" s="490">
        <v>3</v>
      </c>
      <c r="B47" s="491">
        <v>2824856</v>
      </c>
      <c r="C47" s="491">
        <v>5327.25</v>
      </c>
      <c r="D47" s="492">
        <v>1.29</v>
      </c>
      <c r="E47" s="492">
        <v>4.82</v>
      </c>
    </row>
    <row r="48" spans="1:5" ht="16.5" customHeight="1" x14ac:dyDescent="0.3">
      <c r="A48" s="490">
        <v>4</v>
      </c>
      <c r="B48" s="491">
        <v>2826005</v>
      </c>
      <c r="C48" s="491">
        <v>5335.34</v>
      </c>
      <c r="D48" s="492">
        <v>1.33</v>
      </c>
      <c r="E48" s="492">
        <v>4.82</v>
      </c>
    </row>
    <row r="49" spans="1:7" ht="16.5" customHeight="1" x14ac:dyDescent="0.3">
      <c r="A49" s="490">
        <v>5</v>
      </c>
      <c r="B49" s="491">
        <v>2812157</v>
      </c>
      <c r="C49" s="491">
        <v>5352.03</v>
      </c>
      <c r="D49" s="492">
        <v>1.29</v>
      </c>
      <c r="E49" s="492">
        <v>4.82</v>
      </c>
    </row>
    <row r="50" spans="1:7" ht="16.5" customHeight="1" x14ac:dyDescent="0.3">
      <c r="A50" s="490">
        <v>6</v>
      </c>
      <c r="B50" s="494">
        <v>2826128</v>
      </c>
      <c r="C50" s="494">
        <v>5337.33</v>
      </c>
      <c r="D50" s="495">
        <v>1.32</v>
      </c>
      <c r="E50" s="495">
        <v>4.82</v>
      </c>
    </row>
    <row r="51" spans="1:7" ht="16.5" customHeight="1" x14ac:dyDescent="0.3">
      <c r="A51" s="496" t="s">
        <v>18</v>
      </c>
      <c r="B51" s="497">
        <f>AVERAGE(B45:B50)</f>
        <v>2823151.1666666665</v>
      </c>
      <c r="C51" s="498">
        <f>AVERAGE(C45:C50)</f>
        <v>5333.8949999999995</v>
      </c>
      <c r="D51" s="499">
        <f>AVERAGE(D45:D50)</f>
        <v>1.3166666666666667</v>
      </c>
      <c r="E51" s="499">
        <f>AVERAGE(E45:E50)</f>
        <v>4.8166666666666664</v>
      </c>
    </row>
    <row r="52" spans="1:7" ht="16.5" customHeight="1" x14ac:dyDescent="0.3">
      <c r="A52" s="500" t="s">
        <v>19</v>
      </c>
      <c r="B52" s="501">
        <f>(STDEV(B45:B50)/B51)</f>
        <v>2.0754152018626184E-3</v>
      </c>
      <c r="C52" s="502"/>
      <c r="D52" s="502"/>
      <c r="E52" s="503"/>
    </row>
    <row r="53" spans="1:7" s="477" customFormat="1" ht="16.5" customHeight="1" x14ac:dyDescent="0.3">
      <c r="A53" s="504" t="s">
        <v>20</v>
      </c>
      <c r="B53" s="505">
        <f>COUNT(B45:B50)</f>
        <v>6</v>
      </c>
      <c r="C53" s="506"/>
      <c r="D53" s="507"/>
      <c r="E53" s="508"/>
    </row>
    <row r="54" spans="1:7" s="477" customFormat="1" ht="15.75" customHeight="1" x14ac:dyDescent="0.25">
      <c r="A54" s="484"/>
      <c r="B54" s="484"/>
      <c r="C54" s="484"/>
      <c r="D54" s="484"/>
      <c r="E54" s="484"/>
    </row>
    <row r="55" spans="1:7" s="477" customFormat="1" ht="16.5" customHeight="1" x14ac:dyDescent="0.3">
      <c r="A55" s="485" t="s">
        <v>21</v>
      </c>
      <c r="B55" s="509" t="s">
        <v>22</v>
      </c>
      <c r="C55" s="510"/>
      <c r="D55" s="510"/>
      <c r="E55" s="510"/>
    </row>
    <row r="56" spans="1:7" ht="16.5" customHeight="1" x14ac:dyDescent="0.3">
      <c r="A56" s="485"/>
      <c r="B56" s="509" t="s">
        <v>23</v>
      </c>
      <c r="C56" s="510"/>
      <c r="D56" s="510"/>
      <c r="E56" s="510"/>
    </row>
    <row r="57" spans="1:7" ht="16.5" customHeight="1" x14ac:dyDescent="0.3">
      <c r="A57" s="485"/>
      <c r="B57" s="509" t="s">
        <v>24</v>
      </c>
      <c r="C57" s="510"/>
      <c r="D57" s="510"/>
      <c r="E57" s="510"/>
    </row>
    <row r="58" spans="1:7" ht="14.25" customHeight="1" thickBot="1" x14ac:dyDescent="0.3">
      <c r="A58" s="511"/>
      <c r="B58" s="512"/>
      <c r="D58" s="513"/>
      <c r="F58" s="514"/>
      <c r="G58" s="514"/>
    </row>
    <row r="59" spans="1:7" ht="15" customHeight="1" x14ac:dyDescent="0.3">
      <c r="B59" s="515" t="s">
        <v>26</v>
      </c>
      <c r="C59" s="515"/>
      <c r="E59" s="516" t="s">
        <v>27</v>
      </c>
      <c r="F59" s="517"/>
      <c r="G59" s="516" t="s">
        <v>28</v>
      </c>
    </row>
    <row r="60" spans="1:7" ht="15" customHeight="1" x14ac:dyDescent="0.3">
      <c r="A60" s="518" t="s">
        <v>29</v>
      </c>
      <c r="B60" s="519"/>
      <c r="C60" s="519"/>
      <c r="E60" s="519"/>
      <c r="G60" s="519"/>
    </row>
    <row r="61" spans="1:7" ht="15" customHeight="1" x14ac:dyDescent="0.3">
      <c r="A61" s="518" t="s">
        <v>30</v>
      </c>
      <c r="B61" s="520"/>
      <c r="C61" s="520"/>
      <c r="E61" s="520"/>
      <c r="G61" s="52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30" t="s">
        <v>31</v>
      </c>
      <c r="B11" s="431"/>
      <c r="C11" s="431"/>
      <c r="D11" s="431"/>
      <c r="E11" s="431"/>
      <c r="F11" s="432"/>
      <c r="G11" s="43"/>
    </row>
    <row r="12" spans="1:7" ht="16.5" customHeight="1" x14ac:dyDescent="0.3">
      <c r="A12" s="429" t="s">
        <v>32</v>
      </c>
      <c r="B12" s="429"/>
      <c r="C12" s="429"/>
      <c r="D12" s="429"/>
      <c r="E12" s="429"/>
      <c r="F12" s="429"/>
      <c r="G12" s="42"/>
    </row>
    <row r="14" spans="1:7" ht="16.5" customHeight="1" x14ac:dyDescent="0.3">
      <c r="A14" s="434" t="s">
        <v>33</v>
      </c>
      <c r="B14" s="434"/>
      <c r="C14" s="12" t="s">
        <v>5</v>
      </c>
    </row>
    <row r="15" spans="1:7" ht="16.5" customHeight="1" x14ac:dyDescent="0.3">
      <c r="A15" s="434" t="s">
        <v>34</v>
      </c>
      <c r="B15" s="434"/>
      <c r="C15" s="12" t="s">
        <v>7</v>
      </c>
    </row>
    <row r="16" spans="1:7" ht="16.5" customHeight="1" x14ac:dyDescent="0.3">
      <c r="A16" s="434" t="s">
        <v>35</v>
      </c>
      <c r="B16" s="434"/>
      <c r="C16" s="12" t="s">
        <v>9</v>
      </c>
    </row>
    <row r="17" spans="1:5" ht="16.5" customHeight="1" x14ac:dyDescent="0.3">
      <c r="A17" s="434" t="s">
        <v>36</v>
      </c>
      <c r="B17" s="434"/>
      <c r="C17" s="12" t="s">
        <v>11</v>
      </c>
    </row>
    <row r="18" spans="1:5" ht="16.5" customHeight="1" x14ac:dyDescent="0.3">
      <c r="A18" s="434" t="s">
        <v>37</v>
      </c>
      <c r="B18" s="434"/>
      <c r="C18" s="49" t="s">
        <v>12</v>
      </c>
    </row>
    <row r="19" spans="1:5" ht="16.5" customHeight="1" x14ac:dyDescent="0.3">
      <c r="A19" s="434" t="s">
        <v>38</v>
      </c>
      <c r="B19" s="43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9" t="s">
        <v>1</v>
      </c>
      <c r="B21" s="429"/>
      <c r="C21" s="11" t="s">
        <v>39</v>
      </c>
      <c r="D21" s="18"/>
    </row>
    <row r="22" spans="1:5" ht="15.75" customHeight="1" x14ac:dyDescent="0.3">
      <c r="A22" s="433"/>
      <c r="B22" s="433"/>
      <c r="C22" s="9"/>
      <c r="D22" s="433"/>
      <c r="E22" s="43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1098.21</v>
      </c>
      <c r="D24" s="39">
        <f t="shared" ref="D24:D43" si="0">(C24-$C$46)/$C$46</f>
        <v>1.5277090835132096E-2</v>
      </c>
      <c r="E24" s="5"/>
    </row>
    <row r="25" spans="1:5" ht="15.75" customHeight="1" x14ac:dyDescent="0.3">
      <c r="C25" s="47">
        <v>1087.43</v>
      </c>
      <c r="D25" s="40">
        <f t="shared" si="0"/>
        <v>5.3111580543317967E-3</v>
      </c>
      <c r="E25" s="5"/>
    </row>
    <row r="26" spans="1:5" ht="15.75" customHeight="1" x14ac:dyDescent="0.3">
      <c r="C26" s="47">
        <v>1074.6099999999999</v>
      </c>
      <c r="D26" s="40">
        <f t="shared" si="0"/>
        <v>-6.5407211896256964E-3</v>
      </c>
      <c r="E26" s="5"/>
    </row>
    <row r="27" spans="1:5" ht="15.75" customHeight="1" x14ac:dyDescent="0.3">
      <c r="C27" s="47">
        <v>1086.92</v>
      </c>
      <c r="D27" s="40">
        <f t="shared" si="0"/>
        <v>4.8396714385425506E-3</v>
      </c>
      <c r="E27" s="5"/>
    </row>
    <row r="28" spans="1:5" ht="15.75" customHeight="1" x14ac:dyDescent="0.3">
      <c r="C28" s="47">
        <v>1094.42</v>
      </c>
      <c r="D28" s="40">
        <f t="shared" si="0"/>
        <v>1.1773298141325708E-2</v>
      </c>
      <c r="E28" s="5"/>
    </row>
    <row r="29" spans="1:5" ht="15.75" customHeight="1" x14ac:dyDescent="0.3">
      <c r="C29" s="47">
        <v>1083.3699999999999</v>
      </c>
      <c r="D29" s="40">
        <f t="shared" si="0"/>
        <v>1.5577547992250218E-3</v>
      </c>
      <c r="E29" s="5"/>
    </row>
    <row r="30" spans="1:5" ht="15.75" customHeight="1" x14ac:dyDescent="0.3">
      <c r="C30" s="47">
        <v>1049.8499999999999</v>
      </c>
      <c r="D30" s="40">
        <f t="shared" si="0"/>
        <v>-2.9430934144413817E-2</v>
      </c>
      <c r="E30" s="5"/>
    </row>
    <row r="31" spans="1:5" ht="15.75" customHeight="1" x14ac:dyDescent="0.3">
      <c r="C31" s="47">
        <v>1091.5899999999999</v>
      </c>
      <c r="D31" s="40">
        <f t="shared" si="0"/>
        <v>9.1570096654753873E-3</v>
      </c>
      <c r="E31" s="5"/>
    </row>
    <row r="32" spans="1:5" ht="15.75" customHeight="1" x14ac:dyDescent="0.3">
      <c r="C32" s="47">
        <v>1062.8499999999999</v>
      </c>
      <c r="D32" s="40">
        <f t="shared" si="0"/>
        <v>-1.7412647859589677E-2</v>
      </c>
      <c r="E32" s="5"/>
    </row>
    <row r="33" spans="1:7" ht="15.75" customHeight="1" x14ac:dyDescent="0.3">
      <c r="C33" s="47">
        <v>1075.3699999999999</v>
      </c>
      <c r="D33" s="40">
        <f t="shared" si="0"/>
        <v>-5.8381136837436787E-3</v>
      </c>
      <c r="E33" s="5"/>
    </row>
    <row r="34" spans="1:7" ht="15.75" customHeight="1" x14ac:dyDescent="0.3">
      <c r="C34" s="47">
        <v>1073.6099999999999</v>
      </c>
      <c r="D34" s="40">
        <f t="shared" si="0"/>
        <v>-7.4652047499967839E-3</v>
      </c>
      <c r="E34" s="5"/>
    </row>
    <row r="35" spans="1:7" ht="15.75" customHeight="1" x14ac:dyDescent="0.3">
      <c r="C35" s="47">
        <v>1103.1099999999999</v>
      </c>
      <c r="D35" s="40">
        <f t="shared" si="0"/>
        <v>1.9807060280950299E-2</v>
      </c>
      <c r="E35" s="5"/>
    </row>
    <row r="36" spans="1:7" ht="15.75" customHeight="1" x14ac:dyDescent="0.3">
      <c r="C36" s="47">
        <v>1089.0899999999999</v>
      </c>
      <c r="D36" s="40">
        <f t="shared" si="0"/>
        <v>6.8458007645476682E-3</v>
      </c>
      <c r="E36" s="5"/>
    </row>
    <row r="37" spans="1:7" ht="15.75" customHeight="1" x14ac:dyDescent="0.3">
      <c r="C37" s="47">
        <v>1072.1600000000001</v>
      </c>
      <c r="D37" s="40">
        <f t="shared" si="0"/>
        <v>-8.8057059125346924E-3</v>
      </c>
      <c r="E37" s="5"/>
    </row>
    <row r="38" spans="1:7" ht="15.75" customHeight="1" x14ac:dyDescent="0.3">
      <c r="C38" s="47">
        <v>1083.8699999999999</v>
      </c>
      <c r="D38" s="40">
        <f t="shared" si="0"/>
        <v>2.0199965794105656E-3</v>
      </c>
      <c r="E38" s="5"/>
    </row>
    <row r="39" spans="1:7" ht="15.75" customHeight="1" x14ac:dyDescent="0.3">
      <c r="C39" s="47">
        <v>1091.8800000000001</v>
      </c>
      <c r="D39" s="40">
        <f t="shared" si="0"/>
        <v>9.4251098979831784E-3</v>
      </c>
      <c r="E39" s="5"/>
    </row>
    <row r="40" spans="1:7" ht="15.75" customHeight="1" x14ac:dyDescent="0.3">
      <c r="C40" s="47">
        <v>1063.72</v>
      </c>
      <c r="D40" s="40">
        <f t="shared" si="0"/>
        <v>-1.6608347162066724E-2</v>
      </c>
      <c r="E40" s="5"/>
    </row>
    <row r="41" spans="1:7" ht="15.75" customHeight="1" x14ac:dyDescent="0.3">
      <c r="C41" s="47">
        <v>1066.74</v>
      </c>
      <c r="D41" s="40">
        <f t="shared" si="0"/>
        <v>-1.3816406809746055E-2</v>
      </c>
      <c r="E41" s="5"/>
    </row>
    <row r="42" spans="1:7" ht="15.75" customHeight="1" x14ac:dyDescent="0.3">
      <c r="C42" s="47">
        <v>1109.33</v>
      </c>
      <c r="D42" s="40">
        <f t="shared" si="0"/>
        <v>2.5557348026458489E-2</v>
      </c>
      <c r="E42" s="5"/>
    </row>
    <row r="43" spans="1:7" ht="16.5" customHeight="1" x14ac:dyDescent="0.3">
      <c r="C43" s="48">
        <v>1075.57</v>
      </c>
      <c r="D43" s="41">
        <f t="shared" si="0"/>
        <v>-5.6532169716694194E-3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21633.700000000004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1081.6850000000002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7">
        <f>C46</f>
        <v>1081.6850000000002</v>
      </c>
      <c r="C49" s="45">
        <f>-IF(C46&lt;=80,10%,IF(C46&lt;250,7.5%,5%))</f>
        <v>-0.05</v>
      </c>
      <c r="D49" s="33">
        <f>IF(C46&lt;=80,C46*0.9,IF(C46&lt;250,C46*0.925,C46*0.95))</f>
        <v>1027.6007500000001</v>
      </c>
    </row>
    <row r="50" spans="1:6" ht="17.25" customHeight="1" x14ac:dyDescent="0.3">
      <c r="B50" s="428"/>
      <c r="C50" s="46">
        <f>IF(C46&lt;=80, 10%, IF(C46&lt;250, 7.5%, 5%))</f>
        <v>0.05</v>
      </c>
      <c r="D50" s="33">
        <f>IF(C46&lt;=80, C46*1.1, IF(C46&lt;250, C46*1.075, C46*1.05))</f>
        <v>1135.7692500000003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7" zoomScale="46" zoomScaleNormal="40" zoomScalePageLayoutView="46" workbookViewId="0">
      <selection activeCell="F124" sqref="F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5" t="s">
        <v>45</v>
      </c>
      <c r="B1" s="465"/>
      <c r="C1" s="465"/>
      <c r="D1" s="465"/>
      <c r="E1" s="465"/>
      <c r="F1" s="465"/>
      <c r="G1" s="465"/>
      <c r="H1" s="465"/>
      <c r="I1" s="465"/>
    </row>
    <row r="2" spans="1:9" ht="18.75" customHeight="1" x14ac:dyDescent="0.25">
      <c r="A2" s="465"/>
      <c r="B2" s="465"/>
      <c r="C2" s="465"/>
      <c r="D2" s="465"/>
      <c r="E2" s="465"/>
      <c r="F2" s="465"/>
      <c r="G2" s="465"/>
      <c r="H2" s="465"/>
      <c r="I2" s="465"/>
    </row>
    <row r="3" spans="1:9" ht="18.75" customHeight="1" x14ac:dyDescent="0.25">
      <c r="A3" s="465"/>
      <c r="B3" s="465"/>
      <c r="C3" s="465"/>
      <c r="D3" s="465"/>
      <c r="E3" s="465"/>
      <c r="F3" s="465"/>
      <c r="G3" s="465"/>
      <c r="H3" s="465"/>
      <c r="I3" s="465"/>
    </row>
    <row r="4" spans="1:9" ht="18.75" customHeight="1" x14ac:dyDescent="0.25">
      <c r="A4" s="465"/>
      <c r="B4" s="465"/>
      <c r="C4" s="465"/>
      <c r="D4" s="465"/>
      <c r="E4" s="465"/>
      <c r="F4" s="465"/>
      <c r="G4" s="465"/>
      <c r="H4" s="465"/>
      <c r="I4" s="465"/>
    </row>
    <row r="5" spans="1:9" ht="18.75" customHeight="1" x14ac:dyDescent="0.25">
      <c r="A5" s="465"/>
      <c r="B5" s="465"/>
      <c r="C5" s="465"/>
      <c r="D5" s="465"/>
      <c r="E5" s="465"/>
      <c r="F5" s="465"/>
      <c r="G5" s="465"/>
      <c r="H5" s="465"/>
      <c r="I5" s="465"/>
    </row>
    <row r="6" spans="1:9" ht="18.75" customHeight="1" x14ac:dyDescent="0.25">
      <c r="A6" s="465"/>
      <c r="B6" s="465"/>
      <c r="C6" s="465"/>
      <c r="D6" s="465"/>
      <c r="E6" s="465"/>
      <c r="F6" s="465"/>
      <c r="G6" s="465"/>
      <c r="H6" s="465"/>
      <c r="I6" s="465"/>
    </row>
    <row r="7" spans="1:9" ht="18.75" customHeight="1" x14ac:dyDescent="0.25">
      <c r="A7" s="465"/>
      <c r="B7" s="465"/>
      <c r="C7" s="465"/>
      <c r="D7" s="465"/>
      <c r="E7" s="465"/>
      <c r="F7" s="465"/>
      <c r="G7" s="465"/>
      <c r="H7" s="465"/>
      <c r="I7" s="465"/>
    </row>
    <row r="8" spans="1:9" x14ac:dyDescent="0.25">
      <c r="A8" s="466" t="s">
        <v>46</v>
      </c>
      <c r="B8" s="466"/>
      <c r="C8" s="466"/>
      <c r="D8" s="466"/>
      <c r="E8" s="466"/>
      <c r="F8" s="466"/>
      <c r="G8" s="466"/>
      <c r="H8" s="466"/>
      <c r="I8" s="466"/>
    </row>
    <row r="9" spans="1:9" x14ac:dyDescent="0.25">
      <c r="A9" s="466"/>
      <c r="B9" s="466"/>
      <c r="C9" s="466"/>
      <c r="D9" s="466"/>
      <c r="E9" s="466"/>
      <c r="F9" s="466"/>
      <c r="G9" s="466"/>
      <c r="H9" s="466"/>
      <c r="I9" s="466"/>
    </row>
    <row r="10" spans="1:9" x14ac:dyDescent="0.25">
      <c r="A10" s="466"/>
      <c r="B10" s="466"/>
      <c r="C10" s="466"/>
      <c r="D10" s="466"/>
      <c r="E10" s="466"/>
      <c r="F10" s="466"/>
      <c r="G10" s="466"/>
      <c r="H10" s="466"/>
      <c r="I10" s="466"/>
    </row>
    <row r="11" spans="1:9" x14ac:dyDescent="0.25">
      <c r="A11" s="466"/>
      <c r="B11" s="466"/>
      <c r="C11" s="466"/>
      <c r="D11" s="466"/>
      <c r="E11" s="466"/>
      <c r="F11" s="466"/>
      <c r="G11" s="466"/>
      <c r="H11" s="466"/>
      <c r="I11" s="466"/>
    </row>
    <row r="12" spans="1:9" x14ac:dyDescent="0.25">
      <c r="A12" s="466"/>
      <c r="B12" s="466"/>
      <c r="C12" s="466"/>
      <c r="D12" s="466"/>
      <c r="E12" s="466"/>
      <c r="F12" s="466"/>
      <c r="G12" s="466"/>
      <c r="H12" s="466"/>
      <c r="I12" s="466"/>
    </row>
    <row r="13" spans="1:9" x14ac:dyDescent="0.25">
      <c r="A13" s="466"/>
      <c r="B13" s="466"/>
      <c r="C13" s="466"/>
      <c r="D13" s="466"/>
      <c r="E13" s="466"/>
      <c r="F13" s="466"/>
      <c r="G13" s="466"/>
      <c r="H13" s="466"/>
      <c r="I13" s="466"/>
    </row>
    <row r="14" spans="1:9" x14ac:dyDescent="0.25">
      <c r="A14" s="466"/>
      <c r="B14" s="466"/>
      <c r="C14" s="466"/>
      <c r="D14" s="466"/>
      <c r="E14" s="466"/>
      <c r="F14" s="466"/>
      <c r="G14" s="466"/>
      <c r="H14" s="466"/>
      <c r="I14" s="466"/>
    </row>
    <row r="15" spans="1:9" ht="19.5" customHeight="1" x14ac:dyDescent="0.3">
      <c r="A15" s="50"/>
    </row>
    <row r="16" spans="1:9" ht="19.5" customHeight="1" x14ac:dyDescent="0.3">
      <c r="A16" s="438" t="s">
        <v>31</v>
      </c>
      <c r="B16" s="439"/>
      <c r="C16" s="439"/>
      <c r="D16" s="439"/>
      <c r="E16" s="439"/>
      <c r="F16" s="439"/>
      <c r="G16" s="439"/>
      <c r="H16" s="440"/>
    </row>
    <row r="17" spans="1:14" ht="20.25" customHeight="1" x14ac:dyDescent="0.25">
      <c r="A17" s="441" t="s">
        <v>47</v>
      </c>
      <c r="B17" s="441"/>
      <c r="C17" s="441"/>
      <c r="D17" s="441"/>
      <c r="E17" s="441"/>
      <c r="F17" s="441"/>
      <c r="G17" s="441"/>
      <c r="H17" s="441"/>
    </row>
    <row r="18" spans="1:14" ht="26.25" customHeight="1" x14ac:dyDescent="0.4">
      <c r="A18" s="52" t="s">
        <v>33</v>
      </c>
      <c r="B18" s="437" t="s">
        <v>5</v>
      </c>
      <c r="C18" s="437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2" t="s">
        <v>9</v>
      </c>
      <c r="C20" s="44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2" t="s">
        <v>11</v>
      </c>
      <c r="C21" s="442"/>
      <c r="D21" s="442"/>
      <c r="E21" s="442"/>
      <c r="F21" s="442"/>
      <c r="G21" s="442"/>
      <c r="H21" s="442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7" t="s">
        <v>135</v>
      </c>
      <c r="C26" s="437"/>
    </row>
    <row r="27" spans="1:14" ht="26.25" customHeight="1" x14ac:dyDescent="0.4">
      <c r="A27" s="61" t="s">
        <v>48</v>
      </c>
      <c r="B27" s="443" t="s">
        <v>136</v>
      </c>
      <c r="C27" s="443"/>
    </row>
    <row r="28" spans="1:14" ht="27" customHeight="1" x14ac:dyDescent="0.4">
      <c r="A28" s="61" t="s">
        <v>6</v>
      </c>
      <c r="B28" s="62">
        <v>99.02</v>
      </c>
    </row>
    <row r="29" spans="1:14" s="3" customFormat="1" ht="27" customHeight="1" x14ac:dyDescent="0.4">
      <c r="A29" s="61" t="s">
        <v>49</v>
      </c>
      <c r="B29" s="63">
        <v>0</v>
      </c>
      <c r="C29" s="444" t="s">
        <v>50</v>
      </c>
      <c r="D29" s="445"/>
      <c r="E29" s="445"/>
      <c r="F29" s="445"/>
      <c r="G29" s="44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7" t="s">
        <v>53</v>
      </c>
      <c r="D31" s="448"/>
      <c r="E31" s="448"/>
      <c r="F31" s="448"/>
      <c r="G31" s="448"/>
      <c r="H31" s="44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7" t="s">
        <v>55</v>
      </c>
      <c r="D32" s="448"/>
      <c r="E32" s="448"/>
      <c r="F32" s="448"/>
      <c r="G32" s="448"/>
      <c r="H32" s="44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50" t="s">
        <v>59</v>
      </c>
      <c r="E36" s="451"/>
      <c r="F36" s="450" t="s">
        <v>60</v>
      </c>
      <c r="G36" s="45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37320716</v>
      </c>
      <c r="E38" s="85">
        <f>IF(ISBLANK(D38),"-",$D$48/$D$45*D38)</f>
        <v>37666537.186223872</v>
      </c>
      <c r="F38" s="84">
        <v>41080094</v>
      </c>
      <c r="G38" s="86">
        <f>IF(ISBLANK(F38),"-",$D$48/$F$45*F38)</f>
        <v>37995799.244733483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37958049</v>
      </c>
      <c r="E39" s="90">
        <f>IF(ISBLANK(D39),"-",$D$48/$D$45*D39)</f>
        <v>38309775.840715587</v>
      </c>
      <c r="F39" s="89">
        <v>41557165</v>
      </c>
      <c r="G39" s="91">
        <f>IF(ISBLANK(F39),"-",$D$48/$F$45*F39)</f>
        <v>38437051.738982506</v>
      </c>
      <c r="I39" s="454">
        <f>ABS((F43/D43*D42)-F42)/D42</f>
        <v>1.8524164668554534E-2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37584127</v>
      </c>
      <c r="E40" s="90">
        <f>IF(ISBLANK(D40),"-",$D$48/$D$45*D40)</f>
        <v>37932389.005003564</v>
      </c>
      <c r="F40" s="89">
        <v>42608630</v>
      </c>
      <c r="G40" s="91">
        <f>IF(ISBLANK(F40),"-",$D$48/$F$45*F40)</f>
        <v>39409572.71356605</v>
      </c>
      <c r="I40" s="45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37620964</v>
      </c>
      <c r="E42" s="100">
        <f>AVERAGE(E38:E41)</f>
        <v>37969567.343981005</v>
      </c>
      <c r="F42" s="99">
        <f>AVERAGE(F38:F41)</f>
        <v>41748629.666666664</v>
      </c>
      <c r="G42" s="101">
        <f>AVERAGE(G38:G41)</f>
        <v>38614141.232427344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16.010000000000002</v>
      </c>
      <c r="E43" s="92"/>
      <c r="F43" s="104">
        <v>17.47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16.010000000000002</v>
      </c>
      <c r="E44" s="107"/>
      <c r="F44" s="106">
        <f>F43*$B$34</f>
        <v>17.47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15.853102000000002</v>
      </c>
      <c r="E45" s="110"/>
      <c r="F45" s="109">
        <f>F44*$B$30/100</f>
        <v>17.298793999999997</v>
      </c>
      <c r="H45" s="102"/>
    </row>
    <row r="46" spans="1:14" ht="19.5" customHeight="1" x14ac:dyDescent="0.3">
      <c r="A46" s="455" t="s">
        <v>78</v>
      </c>
      <c r="B46" s="456"/>
      <c r="C46" s="105" t="s">
        <v>79</v>
      </c>
      <c r="D46" s="111">
        <f>D45/$B$45</f>
        <v>0.15853102000000002</v>
      </c>
      <c r="E46" s="112"/>
      <c r="F46" s="113">
        <f>F45/$B$45</f>
        <v>0.17298793999999998</v>
      </c>
      <c r="H46" s="102"/>
    </row>
    <row r="47" spans="1:14" ht="27" customHeight="1" x14ac:dyDescent="0.4">
      <c r="A47" s="457"/>
      <c r="B47" s="458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38291854.288204171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1.6007511805397841E-2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Sulfamethoxazole BP 800 mg and Trimethoprim BP 160 mg.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>Sulfamethoxazole BP 800 MG &amp; Trimethoprim BP 160 MG</v>
      </c>
      <c r="H56" s="131"/>
    </row>
    <row r="57" spans="1:12" ht="18.75" x14ac:dyDescent="0.3">
      <c r="A57" s="128" t="s">
        <v>88</v>
      </c>
      <c r="B57" s="199">
        <f>Uniformity!C46</f>
        <v>1081.6850000000002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2</v>
      </c>
      <c r="C60" s="459" t="s">
        <v>94</v>
      </c>
      <c r="D60" s="462">
        <v>1076.3599999999999</v>
      </c>
      <c r="E60" s="134">
        <v>1</v>
      </c>
      <c r="F60" s="135">
        <v>37445325</v>
      </c>
      <c r="G60" s="200">
        <f>IF(ISBLANK(F60),"-",(F60/$D$50*$D$47*$B$68)*($B$57/$D$60))</f>
        <v>786.18445239400842</v>
      </c>
      <c r="H60" s="218">
        <f t="shared" ref="H60:H71" si="0">IF(ISBLANK(F60),"-",(G60/$B$56)*100)</f>
        <v>98.273056549251052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460"/>
      <c r="D61" s="463"/>
      <c r="E61" s="136">
        <v>2</v>
      </c>
      <c r="F61" s="89">
        <v>37333305</v>
      </c>
      <c r="G61" s="201">
        <f>IF(ISBLANK(F61),"-",(F61/$D$50*$D$47*$B$68)*($B$57/$D$60))</f>
        <v>783.83253309948577</v>
      </c>
      <c r="H61" s="219">
        <f t="shared" si="0"/>
        <v>97.979066637435722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60"/>
      <c r="D62" s="463"/>
      <c r="E62" s="136">
        <v>3</v>
      </c>
      <c r="F62" s="137">
        <v>37584628</v>
      </c>
      <c r="G62" s="201">
        <f>IF(ISBLANK(F62),"-",(F62/$D$50*$D$47*$B$68)*($B$57/$D$60))</f>
        <v>789.1091927393478</v>
      </c>
      <c r="H62" s="219">
        <f t="shared" si="0"/>
        <v>98.638649092418476</v>
      </c>
      <c r="L62" s="64"/>
    </row>
    <row r="63" spans="1:12" ht="27" customHeight="1" x14ac:dyDescent="0.4">
      <c r="A63" s="76" t="s">
        <v>97</v>
      </c>
      <c r="B63" s="77">
        <v>1</v>
      </c>
      <c r="C63" s="461"/>
      <c r="D63" s="464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9" t="s">
        <v>99</v>
      </c>
      <c r="D64" s="462">
        <v>1084.6600000000001</v>
      </c>
      <c r="E64" s="134">
        <v>1</v>
      </c>
      <c r="F64" s="135">
        <v>37623279</v>
      </c>
      <c r="G64" s="200">
        <f>IF(ISBLANK(F64),"-",(F64/$D$50*$D$47*$B$68)*($B$57/$D$64))</f>
        <v>783.87608553895586</v>
      </c>
      <c r="H64" s="218">
        <f t="shared" si="0"/>
        <v>97.984510692369483</v>
      </c>
    </row>
    <row r="65" spans="1:8" ht="26.25" customHeight="1" x14ac:dyDescent="0.4">
      <c r="A65" s="76" t="s">
        <v>100</v>
      </c>
      <c r="B65" s="77">
        <v>1</v>
      </c>
      <c r="C65" s="460"/>
      <c r="D65" s="463"/>
      <c r="E65" s="136">
        <v>2</v>
      </c>
      <c r="F65" s="89">
        <v>37614904</v>
      </c>
      <c r="G65" s="201">
        <f>IF(ISBLANK(F65),"-",(F65/$D$50*$D$47*$B$68)*($B$57/$D$64))</f>
        <v>783.7015935119216</v>
      </c>
      <c r="H65" s="219">
        <f t="shared" si="0"/>
        <v>97.9626991889902</v>
      </c>
    </row>
    <row r="66" spans="1:8" ht="26.25" customHeight="1" x14ac:dyDescent="0.4">
      <c r="A66" s="76" t="s">
        <v>101</v>
      </c>
      <c r="B66" s="77">
        <v>1</v>
      </c>
      <c r="C66" s="460"/>
      <c r="D66" s="463"/>
      <c r="E66" s="136">
        <v>3</v>
      </c>
      <c r="F66" s="89">
        <v>37713797</v>
      </c>
      <c r="G66" s="201">
        <f>IF(ISBLANK(F66),"-",(F66/$D$50*$D$47*$B$68)*($B$57/$D$64))</f>
        <v>785.76201620201209</v>
      </c>
      <c r="H66" s="219">
        <f t="shared" si="0"/>
        <v>98.220252025251511</v>
      </c>
    </row>
    <row r="67" spans="1:8" ht="27" customHeight="1" x14ac:dyDescent="0.4">
      <c r="A67" s="76" t="s">
        <v>102</v>
      </c>
      <c r="B67" s="77">
        <v>1</v>
      </c>
      <c r="C67" s="461"/>
      <c r="D67" s="464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5000</v>
      </c>
      <c r="C68" s="459" t="s">
        <v>104</v>
      </c>
      <c r="D68" s="462">
        <v>1082.1300000000001</v>
      </c>
      <c r="E68" s="134">
        <v>1</v>
      </c>
      <c r="F68" s="135">
        <v>37256717</v>
      </c>
      <c r="G68" s="200">
        <f>IF(ISBLANK(F68),"-",(F68/$D$50*$D$47*$B$68)*($B$57/$D$68))</f>
        <v>778.05364636980596</v>
      </c>
      <c r="H68" s="219">
        <f t="shared" si="0"/>
        <v>97.256705796225745</v>
      </c>
    </row>
    <row r="69" spans="1:8" ht="27" customHeight="1" x14ac:dyDescent="0.4">
      <c r="A69" s="124" t="s">
        <v>105</v>
      </c>
      <c r="B69" s="141">
        <f>(D47*B68)/B56*B57</f>
        <v>1081.6850000000002</v>
      </c>
      <c r="C69" s="460"/>
      <c r="D69" s="463"/>
      <c r="E69" s="136">
        <v>2</v>
      </c>
      <c r="F69" s="89">
        <v>36976926</v>
      </c>
      <c r="G69" s="201">
        <f>IF(ISBLANK(F69),"-",(F69/$D$50*$D$47*$B$68)*($B$57/$D$68))</f>
        <v>772.21060851514335</v>
      </c>
      <c r="H69" s="219">
        <f t="shared" si="0"/>
        <v>96.526326064392919</v>
      </c>
    </row>
    <row r="70" spans="1:8" ht="26.25" customHeight="1" x14ac:dyDescent="0.4">
      <c r="A70" s="472" t="s">
        <v>78</v>
      </c>
      <c r="B70" s="473"/>
      <c r="C70" s="460"/>
      <c r="D70" s="463"/>
      <c r="E70" s="136">
        <v>3</v>
      </c>
      <c r="F70" s="89">
        <v>37302996</v>
      </c>
      <c r="G70" s="201">
        <f>IF(ISBLANK(F70),"-",(F70/$D$50*$D$47*$B$68)*($B$57/$D$68))</f>
        <v>779.02011758895151</v>
      </c>
      <c r="H70" s="219">
        <f t="shared" si="0"/>
        <v>97.377514698618938</v>
      </c>
    </row>
    <row r="71" spans="1:8" ht="27" customHeight="1" x14ac:dyDescent="0.4">
      <c r="A71" s="474"/>
      <c r="B71" s="475"/>
      <c r="C71" s="471"/>
      <c r="D71" s="464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782.41669399551472</v>
      </c>
      <c r="H72" s="221">
        <f>AVERAGE(H60:H71)</f>
        <v>97.80208674943934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6.5591619333586725E-3</v>
      </c>
      <c r="H73" s="205">
        <f>STDEV(H60:H71)/H72</f>
        <v>6.5591619333586725E-3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7" t="str">
        <f>B26</f>
        <v>Sulfamethoxazole</v>
      </c>
      <c r="D76" s="467"/>
      <c r="E76" s="150" t="s">
        <v>108</v>
      </c>
      <c r="F76" s="150"/>
      <c r="G76" s="237">
        <f>H72</f>
        <v>97.80208674943934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3" t="str">
        <f>B26</f>
        <v>Sulfamethoxazole</v>
      </c>
      <c r="C79" s="453"/>
    </row>
    <row r="80" spans="1:8" ht="26.25" customHeight="1" x14ac:dyDescent="0.4">
      <c r="A80" s="61" t="s">
        <v>48</v>
      </c>
      <c r="B80" s="453" t="str">
        <f>B27</f>
        <v>S12-6</v>
      </c>
      <c r="C80" s="453"/>
    </row>
    <row r="81" spans="1:12" ht="27" customHeight="1" x14ac:dyDescent="0.4">
      <c r="A81" s="61" t="s">
        <v>6</v>
      </c>
      <c r="B81" s="153">
        <f>B28</f>
        <v>99.02</v>
      </c>
    </row>
    <row r="82" spans="1:12" s="3" customFormat="1" ht="27" customHeight="1" x14ac:dyDescent="0.4">
      <c r="A82" s="61" t="s">
        <v>49</v>
      </c>
      <c r="B82" s="63">
        <v>0</v>
      </c>
      <c r="C82" s="444" t="s">
        <v>50</v>
      </c>
      <c r="D82" s="445"/>
      <c r="E82" s="445"/>
      <c r="F82" s="445"/>
      <c r="G82" s="44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7" t="s">
        <v>111</v>
      </c>
      <c r="D84" s="448"/>
      <c r="E84" s="448"/>
      <c r="F84" s="448"/>
      <c r="G84" s="448"/>
      <c r="H84" s="44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7" t="s">
        <v>112</v>
      </c>
      <c r="D85" s="448"/>
      <c r="E85" s="448"/>
      <c r="F85" s="448"/>
      <c r="G85" s="448"/>
      <c r="H85" s="44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450" t="s">
        <v>60</v>
      </c>
      <c r="G89" s="452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37320716</v>
      </c>
      <c r="E91" s="85">
        <f>IF(ISBLANK(D91),"-",$D$101/$D$98*D91)</f>
        <v>41851707.984693192</v>
      </c>
      <c r="F91" s="84">
        <v>41080094</v>
      </c>
      <c r="G91" s="86">
        <f>IF(ISBLANK(F91),"-",$D$101/$F$98*F91)</f>
        <v>42217554.716370538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37958049</v>
      </c>
      <c r="E92" s="90">
        <f>IF(ISBLANK(D92),"-",$D$101/$D$98*D92)</f>
        <v>42566417.600795098</v>
      </c>
      <c r="F92" s="89">
        <v>41557165</v>
      </c>
      <c r="G92" s="91">
        <f>IF(ISBLANK(F92),"-",$D$101/$F$98*F92)</f>
        <v>42707835.265536115</v>
      </c>
      <c r="I92" s="454">
        <f>ABS((F96/D96*D95)-F95)/D95</f>
        <v>1.8524164668554534E-2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37584127</v>
      </c>
      <c r="E93" s="90">
        <f>IF(ISBLANK(D93),"-",$D$101/$D$98*D93)</f>
        <v>42147098.894448407</v>
      </c>
      <c r="F93" s="89">
        <v>42608630</v>
      </c>
      <c r="G93" s="91">
        <f>IF(ISBLANK(F93),"-",$D$101/$F$98*F93)</f>
        <v>43788414.126184501</v>
      </c>
      <c r="I93" s="454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37620964</v>
      </c>
      <c r="E95" s="100">
        <f>AVERAGE(E91:E94)</f>
        <v>42188408.159978896</v>
      </c>
      <c r="F95" s="163">
        <f>AVERAGE(F91:F94)</f>
        <v>41748629.666666664</v>
      </c>
      <c r="G95" s="164">
        <f>AVERAGE(G91:G94)</f>
        <v>42904601.369363718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16.010000000000002</v>
      </c>
      <c r="E96" s="92"/>
      <c r="F96" s="104">
        <v>17.47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16.010000000000002</v>
      </c>
      <c r="E97" s="107"/>
      <c r="F97" s="106">
        <f>F96*$B$87</f>
        <v>17.47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15.853102000000002</v>
      </c>
      <c r="E98" s="110"/>
      <c r="F98" s="109">
        <f>F97*$B$83/100</f>
        <v>17.298793999999997</v>
      </c>
    </row>
    <row r="99" spans="1:10" ht="19.5" customHeight="1" x14ac:dyDescent="0.3">
      <c r="A99" s="455" t="s">
        <v>78</v>
      </c>
      <c r="B99" s="469"/>
      <c r="C99" s="167" t="s">
        <v>116</v>
      </c>
      <c r="D99" s="171">
        <f>D98/$B$98</f>
        <v>0.15853102000000002</v>
      </c>
      <c r="E99" s="110"/>
      <c r="F99" s="113">
        <f>F98/$B$98</f>
        <v>0.17298793999999998</v>
      </c>
      <c r="G99" s="172"/>
      <c r="H99" s="102"/>
    </row>
    <row r="100" spans="1:10" ht="19.5" customHeight="1" x14ac:dyDescent="0.3">
      <c r="A100" s="457"/>
      <c r="B100" s="470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42546504.764671311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1.6007511805397823E-2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41407364</v>
      </c>
      <c r="E108" s="202">
        <f t="shared" ref="E108:E113" si="1">IF(ISBLANK(D108),"-",D108/$D$103*$D$100*$B$116)</f>
        <v>778.58078785137343</v>
      </c>
      <c r="F108" s="229">
        <f t="shared" ref="F108:F113" si="2">IF(ISBLANK(D108), "-", (E108/$B$56)*100)</f>
        <v>97.322598481421679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41224437</v>
      </c>
      <c r="E109" s="203">
        <f t="shared" si="1"/>
        <v>775.14121976441936</v>
      </c>
      <c r="F109" s="230">
        <f t="shared" si="2"/>
        <v>96.89265247055242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42163337</v>
      </c>
      <c r="E110" s="203">
        <f t="shared" si="1"/>
        <v>792.79531389399631</v>
      </c>
      <c r="F110" s="230">
        <f t="shared" si="2"/>
        <v>99.099414236749539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42312904</v>
      </c>
      <c r="E111" s="203">
        <f t="shared" si="1"/>
        <v>795.60761541351746</v>
      </c>
      <c r="F111" s="230">
        <f t="shared" si="2"/>
        <v>99.450951926689683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41566413</v>
      </c>
      <c r="E112" s="203">
        <f t="shared" si="1"/>
        <v>781.57137898697363</v>
      </c>
      <c r="F112" s="230">
        <f t="shared" si="2"/>
        <v>97.696422373371703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42479062</v>
      </c>
      <c r="E113" s="204">
        <f t="shared" si="1"/>
        <v>798.73187675379029</v>
      </c>
      <c r="F113" s="231">
        <f t="shared" si="2"/>
        <v>99.841484594223786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787.0713654440118</v>
      </c>
      <c r="F115" s="233">
        <f>AVERAGE(F108:F113)</f>
        <v>98.383920680501475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1.2529628614806486E-2</v>
      </c>
      <c r="F116" s="187">
        <f>STDEV(F108:F113)/F115</f>
        <v>1.2529628614806486E-2</v>
      </c>
      <c r="I116" s="50"/>
    </row>
    <row r="117" spans="1:10" ht="27" customHeight="1" x14ac:dyDescent="0.4">
      <c r="A117" s="455" t="s">
        <v>78</v>
      </c>
      <c r="B117" s="456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57"/>
      <c r="B118" s="458"/>
      <c r="C118" s="50"/>
      <c r="D118" s="212"/>
      <c r="E118" s="435" t="s">
        <v>123</v>
      </c>
      <c r="F118" s="436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775.14121976441936</v>
      </c>
      <c r="F119" s="234">
        <f>MIN(F108:F113)</f>
        <v>96.89265247055242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798.73187675379029</v>
      </c>
      <c r="F120" s="235">
        <f>MAX(F108:F113)</f>
        <v>99.841484594223786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7" t="str">
        <f>B26</f>
        <v>Sulfamethoxazole</v>
      </c>
      <c r="D124" s="467"/>
      <c r="E124" s="150" t="s">
        <v>127</v>
      </c>
      <c r="F124" s="150"/>
      <c r="G124" s="236">
        <f>F115</f>
        <v>98.383920680501475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96.89265247055242</v>
      </c>
      <c r="E125" s="161" t="s">
        <v>130</v>
      </c>
      <c r="F125" s="236">
        <f>MAX(F108:F113)</f>
        <v>99.841484594223786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8" t="s">
        <v>26</v>
      </c>
      <c r="C127" s="468"/>
      <c r="E127" s="156" t="s">
        <v>27</v>
      </c>
      <c r="F127" s="191"/>
      <c r="G127" s="468" t="s">
        <v>28</v>
      </c>
      <c r="H127" s="468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7" zoomScale="44" zoomScaleNormal="40" zoomScalePageLayoutView="44" workbookViewId="0">
      <selection activeCell="A98" sqref="A9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5" t="s">
        <v>45</v>
      </c>
      <c r="B1" s="465"/>
      <c r="C1" s="465"/>
      <c r="D1" s="465"/>
      <c r="E1" s="465"/>
      <c r="F1" s="465"/>
      <c r="G1" s="465"/>
      <c r="H1" s="465"/>
      <c r="I1" s="465"/>
    </row>
    <row r="2" spans="1:9" ht="18.75" customHeight="1" x14ac:dyDescent="0.25">
      <c r="A2" s="465"/>
      <c r="B2" s="465"/>
      <c r="C2" s="465"/>
      <c r="D2" s="465"/>
      <c r="E2" s="465"/>
      <c r="F2" s="465"/>
      <c r="G2" s="465"/>
      <c r="H2" s="465"/>
      <c r="I2" s="465"/>
    </row>
    <row r="3" spans="1:9" ht="18.75" customHeight="1" x14ac:dyDescent="0.25">
      <c r="A3" s="465"/>
      <c r="B3" s="465"/>
      <c r="C3" s="465"/>
      <c r="D3" s="465"/>
      <c r="E3" s="465"/>
      <c r="F3" s="465"/>
      <c r="G3" s="465"/>
      <c r="H3" s="465"/>
      <c r="I3" s="465"/>
    </row>
    <row r="4" spans="1:9" ht="18.75" customHeight="1" x14ac:dyDescent="0.25">
      <c r="A4" s="465"/>
      <c r="B4" s="465"/>
      <c r="C4" s="465"/>
      <c r="D4" s="465"/>
      <c r="E4" s="465"/>
      <c r="F4" s="465"/>
      <c r="G4" s="465"/>
      <c r="H4" s="465"/>
      <c r="I4" s="465"/>
    </row>
    <row r="5" spans="1:9" ht="18.75" customHeight="1" x14ac:dyDescent="0.25">
      <c r="A5" s="465"/>
      <c r="B5" s="465"/>
      <c r="C5" s="465"/>
      <c r="D5" s="465"/>
      <c r="E5" s="465"/>
      <c r="F5" s="465"/>
      <c r="G5" s="465"/>
      <c r="H5" s="465"/>
      <c r="I5" s="465"/>
    </row>
    <row r="6" spans="1:9" ht="18.75" customHeight="1" x14ac:dyDescent="0.25">
      <c r="A6" s="465"/>
      <c r="B6" s="465"/>
      <c r="C6" s="465"/>
      <c r="D6" s="465"/>
      <c r="E6" s="465"/>
      <c r="F6" s="465"/>
      <c r="G6" s="465"/>
      <c r="H6" s="465"/>
      <c r="I6" s="465"/>
    </row>
    <row r="7" spans="1:9" ht="18.75" customHeight="1" x14ac:dyDescent="0.25">
      <c r="A7" s="465"/>
      <c r="B7" s="465"/>
      <c r="C7" s="465"/>
      <c r="D7" s="465"/>
      <c r="E7" s="465"/>
      <c r="F7" s="465"/>
      <c r="G7" s="465"/>
      <c r="H7" s="465"/>
      <c r="I7" s="465"/>
    </row>
    <row r="8" spans="1:9" x14ac:dyDescent="0.25">
      <c r="A8" s="466" t="s">
        <v>46</v>
      </c>
      <c r="B8" s="466"/>
      <c r="C8" s="466"/>
      <c r="D8" s="466"/>
      <c r="E8" s="466"/>
      <c r="F8" s="466"/>
      <c r="G8" s="466"/>
      <c r="H8" s="466"/>
      <c r="I8" s="466"/>
    </row>
    <row r="9" spans="1:9" x14ac:dyDescent="0.25">
      <c r="A9" s="466"/>
      <c r="B9" s="466"/>
      <c r="C9" s="466"/>
      <c r="D9" s="466"/>
      <c r="E9" s="466"/>
      <c r="F9" s="466"/>
      <c r="G9" s="466"/>
      <c r="H9" s="466"/>
      <c r="I9" s="466"/>
    </row>
    <row r="10" spans="1:9" x14ac:dyDescent="0.25">
      <c r="A10" s="466"/>
      <c r="B10" s="466"/>
      <c r="C10" s="466"/>
      <c r="D10" s="466"/>
      <c r="E10" s="466"/>
      <c r="F10" s="466"/>
      <c r="G10" s="466"/>
      <c r="H10" s="466"/>
      <c r="I10" s="466"/>
    </row>
    <row r="11" spans="1:9" x14ac:dyDescent="0.25">
      <c r="A11" s="466"/>
      <c r="B11" s="466"/>
      <c r="C11" s="466"/>
      <c r="D11" s="466"/>
      <c r="E11" s="466"/>
      <c r="F11" s="466"/>
      <c r="G11" s="466"/>
      <c r="H11" s="466"/>
      <c r="I11" s="466"/>
    </row>
    <row r="12" spans="1:9" x14ac:dyDescent="0.25">
      <c r="A12" s="466"/>
      <c r="B12" s="466"/>
      <c r="C12" s="466"/>
      <c r="D12" s="466"/>
      <c r="E12" s="466"/>
      <c r="F12" s="466"/>
      <c r="G12" s="466"/>
      <c r="H12" s="466"/>
      <c r="I12" s="466"/>
    </row>
    <row r="13" spans="1:9" x14ac:dyDescent="0.25">
      <c r="A13" s="466"/>
      <c r="B13" s="466"/>
      <c r="C13" s="466"/>
      <c r="D13" s="466"/>
      <c r="E13" s="466"/>
      <c r="F13" s="466"/>
      <c r="G13" s="466"/>
      <c r="H13" s="466"/>
      <c r="I13" s="466"/>
    </row>
    <row r="14" spans="1:9" x14ac:dyDescent="0.25">
      <c r="A14" s="466"/>
      <c r="B14" s="466"/>
      <c r="C14" s="466"/>
      <c r="D14" s="466"/>
      <c r="E14" s="466"/>
      <c r="F14" s="466"/>
      <c r="G14" s="466"/>
      <c r="H14" s="466"/>
      <c r="I14" s="466"/>
    </row>
    <row r="15" spans="1:9" ht="19.5" customHeight="1" x14ac:dyDescent="0.3">
      <c r="A15" s="238"/>
    </row>
    <row r="16" spans="1:9" ht="19.5" customHeight="1" x14ac:dyDescent="0.3">
      <c r="A16" s="438" t="s">
        <v>31</v>
      </c>
      <c r="B16" s="439"/>
      <c r="C16" s="439"/>
      <c r="D16" s="439"/>
      <c r="E16" s="439"/>
      <c r="F16" s="439"/>
      <c r="G16" s="439"/>
      <c r="H16" s="440"/>
    </row>
    <row r="17" spans="1:14" ht="20.25" customHeight="1" x14ac:dyDescent="0.25">
      <c r="A17" s="441" t="s">
        <v>47</v>
      </c>
      <c r="B17" s="441"/>
      <c r="C17" s="441"/>
      <c r="D17" s="441"/>
      <c r="E17" s="441"/>
      <c r="F17" s="441"/>
      <c r="G17" s="441"/>
      <c r="H17" s="441"/>
    </row>
    <row r="18" spans="1:14" ht="26.25" customHeight="1" x14ac:dyDescent="0.4">
      <c r="A18" s="240" t="s">
        <v>33</v>
      </c>
      <c r="B18" s="437" t="s">
        <v>5</v>
      </c>
      <c r="C18" s="437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2" t="s">
        <v>9</v>
      </c>
      <c r="C20" s="442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2" t="s">
        <v>11</v>
      </c>
      <c r="C21" s="442"/>
      <c r="D21" s="442"/>
      <c r="E21" s="442"/>
      <c r="F21" s="442"/>
      <c r="G21" s="442"/>
      <c r="H21" s="442"/>
      <c r="I21" s="244"/>
    </row>
    <row r="22" spans="1:14" ht="26.25" customHeight="1" x14ac:dyDescent="0.4">
      <c r="A22" s="240" t="s">
        <v>37</v>
      </c>
      <c r="B22" s="245" t="s">
        <v>12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37" t="s">
        <v>137</v>
      </c>
      <c r="C26" s="437"/>
    </row>
    <row r="27" spans="1:14" ht="26.25" customHeight="1" x14ac:dyDescent="0.4">
      <c r="A27" s="249" t="s">
        <v>48</v>
      </c>
      <c r="B27" s="443" t="s">
        <v>138</v>
      </c>
      <c r="C27" s="443"/>
    </row>
    <row r="28" spans="1:14" ht="27" customHeight="1" x14ac:dyDescent="0.4">
      <c r="A28" s="249" t="s">
        <v>6</v>
      </c>
      <c r="B28" s="250">
        <v>99.75</v>
      </c>
    </row>
    <row r="29" spans="1:14" s="3" customFormat="1" ht="27" customHeight="1" x14ac:dyDescent="0.4">
      <c r="A29" s="249" t="s">
        <v>49</v>
      </c>
      <c r="B29" s="251">
        <v>0</v>
      </c>
      <c r="C29" s="444" t="s">
        <v>50</v>
      </c>
      <c r="D29" s="445"/>
      <c r="E29" s="445"/>
      <c r="F29" s="445"/>
      <c r="G29" s="446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99.75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7" t="s">
        <v>53</v>
      </c>
      <c r="D31" s="448"/>
      <c r="E31" s="448"/>
      <c r="F31" s="448"/>
      <c r="G31" s="448"/>
      <c r="H31" s="449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7" t="s">
        <v>55</v>
      </c>
      <c r="D32" s="448"/>
      <c r="E32" s="448"/>
      <c r="F32" s="448"/>
      <c r="G32" s="448"/>
      <c r="H32" s="449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25</v>
      </c>
      <c r="C36" s="239"/>
      <c r="D36" s="450" t="s">
        <v>59</v>
      </c>
      <c r="E36" s="451"/>
      <c r="F36" s="450" t="s">
        <v>60</v>
      </c>
      <c r="G36" s="452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100</v>
      </c>
      <c r="C38" s="271">
        <v>1</v>
      </c>
      <c r="D38" s="272">
        <v>2842773</v>
      </c>
      <c r="E38" s="273">
        <f>IF(ISBLANK(D38),"-",$D$48/$D$45*D38)</f>
        <v>2878684.5902635371</v>
      </c>
      <c r="F38" s="272">
        <v>2972444</v>
      </c>
      <c r="G38" s="274">
        <f>IF(ISBLANK(F38),"-",$D$48/$F$45*F38)</f>
        <v>2816534.7205442721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2893814</v>
      </c>
      <c r="E39" s="278">
        <f>IF(ISBLANK(D39),"-",$D$48/$D$45*D39)</f>
        <v>2930370.3703703699</v>
      </c>
      <c r="F39" s="277">
        <v>3053090</v>
      </c>
      <c r="G39" s="279">
        <f>IF(ISBLANK(F39),"-",$D$48/$F$45*F39)</f>
        <v>2892950.7132671</v>
      </c>
      <c r="I39" s="454">
        <f>ABS((F43/D43*D42)-F42)/D42</f>
        <v>3.0702131888032708E-3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2870877</v>
      </c>
      <c r="E40" s="278">
        <f>IF(ISBLANK(D40),"-",$D$48/$D$45*D40)</f>
        <v>2907143.6166173005</v>
      </c>
      <c r="F40" s="277">
        <v>3146723</v>
      </c>
      <c r="G40" s="279">
        <f>IF(ISBLANK(F40),"-",$D$48/$F$45*F40)</f>
        <v>2981672.517778378</v>
      </c>
      <c r="I40" s="454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2869154.6666666665</v>
      </c>
      <c r="E42" s="288">
        <f>AVERAGE(E38:E41)</f>
        <v>2905399.5257504024</v>
      </c>
      <c r="F42" s="287">
        <f>AVERAGE(F38:F41)</f>
        <v>3057419</v>
      </c>
      <c r="G42" s="289">
        <f>AVERAGE(G38:G41)</f>
        <v>2897052.6505299169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19.8</v>
      </c>
      <c r="E43" s="280"/>
      <c r="F43" s="292">
        <v>21.16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19.8</v>
      </c>
      <c r="E44" s="295"/>
      <c r="F44" s="294">
        <f>F43*$B$34</f>
        <v>21.16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625</v>
      </c>
      <c r="C45" s="293" t="s">
        <v>77</v>
      </c>
      <c r="D45" s="297">
        <f>D44*$B$30/100</f>
        <v>19.750500000000002</v>
      </c>
      <c r="E45" s="298"/>
      <c r="F45" s="297">
        <f>F44*$B$30/100</f>
        <v>21.107099999999999</v>
      </c>
      <c r="H45" s="290"/>
    </row>
    <row r="46" spans="1:14" ht="19.5" customHeight="1" x14ac:dyDescent="0.3">
      <c r="A46" s="455" t="s">
        <v>78</v>
      </c>
      <c r="B46" s="456"/>
      <c r="C46" s="293" t="s">
        <v>79</v>
      </c>
      <c r="D46" s="299">
        <f>D45/$B$45</f>
        <v>3.1600800000000005E-2</v>
      </c>
      <c r="E46" s="300"/>
      <c r="F46" s="301">
        <f>F45/$B$45</f>
        <v>3.377136E-2</v>
      </c>
      <c r="H46" s="290"/>
    </row>
    <row r="47" spans="1:14" ht="27" customHeight="1" x14ac:dyDescent="0.4">
      <c r="A47" s="457"/>
      <c r="B47" s="458"/>
      <c r="C47" s="302" t="s">
        <v>80</v>
      </c>
      <c r="D47" s="303">
        <v>3.2000000000000001E-2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2901226.0881401594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1.8945129160262149E-2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tablet contains: Sulfamethoxazole BP 800 mg and Trimethoprim BP 160 mg.</v>
      </c>
    </row>
    <row r="56" spans="1:12" ht="26.25" customHeight="1" x14ac:dyDescent="0.4">
      <c r="A56" s="317" t="s">
        <v>87</v>
      </c>
      <c r="B56" s="318">
        <v>160</v>
      </c>
      <c r="C56" s="239" t="str">
        <f>B20</f>
        <v>Sulfamethoxazole BP 800 MG &amp; Trimethoprim BP 160 MG</v>
      </c>
      <c r="H56" s="319"/>
    </row>
    <row r="57" spans="1:12" ht="18.75" x14ac:dyDescent="0.3">
      <c r="A57" s="316" t="s">
        <v>88</v>
      </c>
      <c r="B57" s="387">
        <f>Uniformity!C46</f>
        <v>1081.6850000000002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2</v>
      </c>
      <c r="C60" s="459" t="s">
        <v>94</v>
      </c>
      <c r="D60" s="462">
        <v>1076.3599999999999</v>
      </c>
      <c r="E60" s="322">
        <v>1</v>
      </c>
      <c r="F60" s="323">
        <v>2842993</v>
      </c>
      <c r="G60" s="388">
        <f>IF(ISBLANK(F60),"-",(F60/$D$50*$D$47*$B$68)*($B$57/$D$60))</f>
        <v>157.56416644195812</v>
      </c>
      <c r="H60" s="406">
        <f t="shared" ref="H60:H71" si="0">IF(ISBLANK(F60),"-",(G60/$B$56)*100)</f>
        <v>98.47760402622383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460"/>
      <c r="D61" s="463"/>
      <c r="E61" s="324">
        <v>2</v>
      </c>
      <c r="F61" s="277">
        <v>2829994</v>
      </c>
      <c r="G61" s="389">
        <f>IF(ISBLANK(F61),"-",(F61/$D$50*$D$47*$B$68)*($B$57/$D$60))</f>
        <v>156.84373674002813</v>
      </c>
      <c r="H61" s="407">
        <f t="shared" si="0"/>
        <v>98.027335462517584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60"/>
      <c r="D62" s="463"/>
      <c r="E62" s="324">
        <v>3</v>
      </c>
      <c r="F62" s="325">
        <v>2841221</v>
      </c>
      <c r="G62" s="389">
        <f>IF(ISBLANK(F62),"-",(F62/$D$50*$D$47*$B$68)*($B$57/$D$60))</f>
        <v>157.46595877738238</v>
      </c>
      <c r="H62" s="407">
        <f t="shared" si="0"/>
        <v>98.416224235863993</v>
      </c>
      <c r="L62" s="252"/>
    </row>
    <row r="63" spans="1:12" ht="27" customHeight="1" x14ac:dyDescent="0.4">
      <c r="A63" s="264" t="s">
        <v>97</v>
      </c>
      <c r="B63" s="265">
        <v>1</v>
      </c>
      <c r="C63" s="461"/>
      <c r="D63" s="464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9" t="s">
        <v>99</v>
      </c>
      <c r="D64" s="462">
        <v>1084.6600000000001</v>
      </c>
      <c r="E64" s="322">
        <v>1</v>
      </c>
      <c r="F64" s="323">
        <v>2844131</v>
      </c>
      <c r="G64" s="388">
        <f>IF(ISBLANK(F64),"-",(F64/$D$50*$D$47*$B$68)*($B$57/$D$64))</f>
        <v>156.42104658430731</v>
      </c>
      <c r="H64" s="406">
        <f t="shared" si="0"/>
        <v>97.763154115192066</v>
      </c>
    </row>
    <row r="65" spans="1:8" ht="26.25" customHeight="1" x14ac:dyDescent="0.4">
      <c r="A65" s="264" t="s">
        <v>100</v>
      </c>
      <c r="B65" s="265">
        <v>1</v>
      </c>
      <c r="C65" s="460"/>
      <c r="D65" s="463"/>
      <c r="E65" s="324">
        <v>2</v>
      </c>
      <c r="F65" s="277">
        <v>2839700</v>
      </c>
      <c r="G65" s="389">
        <f>IF(ISBLANK(F65),"-",(F65/$D$50*$D$47*$B$68)*($B$57/$D$64))</f>
        <v>156.17735117878095</v>
      </c>
      <c r="H65" s="407">
        <f t="shared" si="0"/>
        <v>97.610844486738088</v>
      </c>
    </row>
    <row r="66" spans="1:8" ht="26.25" customHeight="1" x14ac:dyDescent="0.4">
      <c r="A66" s="264" t="s">
        <v>101</v>
      </c>
      <c r="B66" s="265">
        <v>1</v>
      </c>
      <c r="C66" s="460"/>
      <c r="D66" s="463"/>
      <c r="E66" s="324">
        <v>3</v>
      </c>
      <c r="F66" s="277">
        <v>2841571</v>
      </c>
      <c r="G66" s="389">
        <f>IF(ISBLANK(F66),"-",(F66/$D$50*$D$47*$B$68)*($B$57/$D$64))</f>
        <v>156.28025212749225</v>
      </c>
      <c r="H66" s="407">
        <f t="shared" si="0"/>
        <v>97.675157579682661</v>
      </c>
    </row>
    <row r="67" spans="1:8" ht="27" customHeight="1" x14ac:dyDescent="0.4">
      <c r="A67" s="264" t="s">
        <v>102</v>
      </c>
      <c r="B67" s="265">
        <v>1</v>
      </c>
      <c r="C67" s="461"/>
      <c r="D67" s="464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5000</v>
      </c>
      <c r="C68" s="459" t="s">
        <v>104</v>
      </c>
      <c r="D68" s="462">
        <v>1082.1300000000001</v>
      </c>
      <c r="E68" s="322">
        <v>1</v>
      </c>
      <c r="F68" s="323">
        <v>2822615</v>
      </c>
      <c r="G68" s="388">
        <f>IF(ISBLANK(F68),"-",(F68/$D$50*$D$47*$B$68)*($B$57/$D$68))</f>
        <v>155.60065608593658</v>
      </c>
      <c r="H68" s="407">
        <f t="shared" si="0"/>
        <v>97.250410053710354</v>
      </c>
    </row>
    <row r="69" spans="1:8" ht="27" customHeight="1" x14ac:dyDescent="0.4">
      <c r="A69" s="312" t="s">
        <v>105</v>
      </c>
      <c r="B69" s="329">
        <f>(D47*B68)/B56*B57</f>
        <v>1081.6850000000002</v>
      </c>
      <c r="C69" s="460"/>
      <c r="D69" s="463"/>
      <c r="E69" s="324">
        <v>2</v>
      </c>
      <c r="F69" s="277">
        <v>2794318</v>
      </c>
      <c r="G69" s="389">
        <f>IF(ISBLANK(F69),"-",(F69/$D$50*$D$47*$B$68)*($B$57/$D$68))</f>
        <v>154.04074381831819</v>
      </c>
      <c r="H69" s="407">
        <f t="shared" si="0"/>
        <v>96.275464886448873</v>
      </c>
    </row>
    <row r="70" spans="1:8" ht="26.25" customHeight="1" x14ac:dyDescent="0.4">
      <c r="A70" s="472" t="s">
        <v>78</v>
      </c>
      <c r="B70" s="473"/>
      <c r="C70" s="460"/>
      <c r="D70" s="463"/>
      <c r="E70" s="324">
        <v>3</v>
      </c>
      <c r="F70" s="277">
        <v>2814058</v>
      </c>
      <c r="G70" s="389">
        <f>IF(ISBLANK(F70),"-",(F70/$D$50*$D$47*$B$68)*($B$57/$D$68))</f>
        <v>155.12893932182695</v>
      </c>
      <c r="H70" s="407">
        <f t="shared" si="0"/>
        <v>96.955587076141853</v>
      </c>
    </row>
    <row r="71" spans="1:8" ht="27" customHeight="1" x14ac:dyDescent="0.4">
      <c r="A71" s="474"/>
      <c r="B71" s="475"/>
      <c r="C71" s="471"/>
      <c r="D71" s="464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156.16920567511454</v>
      </c>
      <c r="H72" s="409">
        <f>AVERAGE(H60:H71)</f>
        <v>97.605753546946588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7.1927065106619729E-3</v>
      </c>
      <c r="H73" s="393">
        <f>STDEV(H60:H71)/H72</f>
        <v>7.1927065106619677E-3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7" t="str">
        <f>B26</f>
        <v>Trimethoprim</v>
      </c>
      <c r="D76" s="467"/>
      <c r="E76" s="338" t="s">
        <v>108</v>
      </c>
      <c r="F76" s="338"/>
      <c r="G76" s="425">
        <f>H72</f>
        <v>97.605753546946588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3" t="str">
        <f>B26</f>
        <v>Trimethoprim</v>
      </c>
      <c r="C79" s="453"/>
    </row>
    <row r="80" spans="1:8" ht="26.25" customHeight="1" x14ac:dyDescent="0.4">
      <c r="A80" s="249" t="s">
        <v>48</v>
      </c>
      <c r="B80" s="453" t="str">
        <f>B27</f>
        <v>T7-5</v>
      </c>
      <c r="C80" s="453"/>
    </row>
    <row r="81" spans="1:12" ht="27" customHeight="1" x14ac:dyDescent="0.4">
      <c r="A81" s="249" t="s">
        <v>6</v>
      </c>
      <c r="B81" s="341">
        <f>B28</f>
        <v>99.75</v>
      </c>
    </row>
    <row r="82" spans="1:12" s="3" customFormat="1" ht="27" customHeight="1" x14ac:dyDescent="0.4">
      <c r="A82" s="249" t="s">
        <v>49</v>
      </c>
      <c r="B82" s="251">
        <v>0</v>
      </c>
      <c r="C82" s="444" t="s">
        <v>50</v>
      </c>
      <c r="D82" s="445"/>
      <c r="E82" s="445"/>
      <c r="F82" s="445"/>
      <c r="G82" s="446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99.75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7" t="s">
        <v>111</v>
      </c>
      <c r="D84" s="448"/>
      <c r="E84" s="448"/>
      <c r="F84" s="448"/>
      <c r="G84" s="448"/>
      <c r="H84" s="449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7" t="s">
        <v>112</v>
      </c>
      <c r="D85" s="448"/>
      <c r="E85" s="448"/>
      <c r="F85" s="448"/>
      <c r="G85" s="448"/>
      <c r="H85" s="449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25</v>
      </c>
      <c r="D89" s="342" t="s">
        <v>59</v>
      </c>
      <c r="E89" s="343"/>
      <c r="F89" s="450" t="s">
        <v>60</v>
      </c>
      <c r="G89" s="452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100</v>
      </c>
      <c r="C91" s="346">
        <v>1</v>
      </c>
      <c r="D91" s="272">
        <v>2842773</v>
      </c>
      <c r="E91" s="273">
        <f>IF(ISBLANK(D91),"-",$D$101/$D$98*D91)</f>
        <v>3198538.4336261526</v>
      </c>
      <c r="F91" s="272">
        <v>2972444</v>
      </c>
      <c r="G91" s="274">
        <f>IF(ISBLANK(F91),"-",$D$101/$F$98*F91)</f>
        <v>3129483.0228269682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2893814</v>
      </c>
      <c r="E92" s="278">
        <f>IF(ISBLANK(D92),"-",$D$101/$D$98*D92)</f>
        <v>3255967.0781892999</v>
      </c>
      <c r="F92" s="277">
        <v>3053090</v>
      </c>
      <c r="G92" s="279">
        <f>IF(ISBLANK(F92),"-",$D$101/$F$98*F92)</f>
        <v>3214389.6814078884</v>
      </c>
      <c r="I92" s="454">
        <f>ABS((F96/D96*D95)-F95)/D95</f>
        <v>3.0702131888032708E-3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2870877</v>
      </c>
      <c r="E93" s="278">
        <f>IF(ISBLANK(D93),"-",$D$101/$D$98*D93)</f>
        <v>3230159.574019223</v>
      </c>
      <c r="F93" s="277">
        <v>3146723</v>
      </c>
      <c r="G93" s="279">
        <f>IF(ISBLANK(F93),"-",$D$101/$F$98*F93)</f>
        <v>3312969.4641981972</v>
      </c>
      <c r="I93" s="454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2869154.6666666665</v>
      </c>
      <c r="E95" s="288">
        <f>AVERAGE(E91:E94)</f>
        <v>3228221.6952782255</v>
      </c>
      <c r="F95" s="351">
        <f>AVERAGE(F91:F94)</f>
        <v>3057419</v>
      </c>
      <c r="G95" s="352">
        <f>AVERAGE(G91:G94)</f>
        <v>3218947.3894776851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19.8</v>
      </c>
      <c r="E96" s="280"/>
      <c r="F96" s="292">
        <v>21.16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19.8</v>
      </c>
      <c r="E97" s="295"/>
      <c r="F97" s="294">
        <f>F96*$B$87</f>
        <v>21.16</v>
      </c>
    </row>
    <row r="98" spans="1:10" ht="19.5" customHeight="1" x14ac:dyDescent="0.3">
      <c r="A98" s="264" t="s">
        <v>76</v>
      </c>
      <c r="B98" s="357">
        <f>(B97/B96)*(B95/B94)*(B93/B92)*(B91/B90)*B89</f>
        <v>625</v>
      </c>
      <c r="C98" s="355" t="s">
        <v>115</v>
      </c>
      <c r="D98" s="358">
        <f>D97*$B$83/100</f>
        <v>19.750500000000002</v>
      </c>
      <c r="E98" s="298"/>
      <c r="F98" s="297">
        <f>F97*$B$83/100</f>
        <v>21.107099999999999</v>
      </c>
    </row>
    <row r="99" spans="1:10" ht="19.5" customHeight="1" x14ac:dyDescent="0.3">
      <c r="A99" s="455" t="s">
        <v>78</v>
      </c>
      <c r="B99" s="469"/>
      <c r="C99" s="355" t="s">
        <v>116</v>
      </c>
      <c r="D99" s="359">
        <f>D98/$B$98</f>
        <v>3.1600800000000005E-2</v>
      </c>
      <c r="E99" s="298"/>
      <c r="F99" s="301">
        <f>F98/$B$98</f>
        <v>3.377136E-2</v>
      </c>
      <c r="G99" s="360"/>
      <c r="H99" s="290"/>
    </row>
    <row r="100" spans="1:10" ht="19.5" customHeight="1" x14ac:dyDescent="0.3">
      <c r="A100" s="457"/>
      <c r="B100" s="470"/>
      <c r="C100" s="355" t="s">
        <v>80</v>
      </c>
      <c r="D100" s="361">
        <f>$B$56/$B$116</f>
        <v>3.5555555555555556E-2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3223584.5423779548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1.8945129160262177E-2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10</v>
      </c>
      <c r="C108" s="415">
        <v>1</v>
      </c>
      <c r="D108" s="416">
        <v>3161121</v>
      </c>
      <c r="E108" s="390">
        <f t="shared" ref="E108:E113" si="1">IF(ISBLANK(D108),"-",D108/$D$103*$D$100*$B$116)</f>
        <v>156.89967281791832</v>
      </c>
      <c r="F108" s="417">
        <f t="shared" ref="F108:F113" si="2">IF(ISBLANK(D108), "-", (E108/$B$56)*100)</f>
        <v>98.062295511198954</v>
      </c>
    </row>
    <row r="109" spans="1:10" ht="26.25" customHeight="1" x14ac:dyDescent="0.4">
      <c r="A109" s="264" t="s">
        <v>95</v>
      </c>
      <c r="B109" s="265">
        <v>50</v>
      </c>
      <c r="C109" s="411">
        <v>2</v>
      </c>
      <c r="D109" s="413">
        <v>3139907</v>
      </c>
      <c r="E109" s="391">
        <f t="shared" si="1"/>
        <v>155.84673316165103</v>
      </c>
      <c r="F109" s="418">
        <f t="shared" si="2"/>
        <v>97.404208226031898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3207839</v>
      </c>
      <c r="E110" s="391">
        <f t="shared" si="1"/>
        <v>159.21848279536221</v>
      </c>
      <c r="F110" s="418">
        <f t="shared" si="2"/>
        <v>99.511551747101379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3231267</v>
      </c>
      <c r="E111" s="391">
        <f t="shared" si="1"/>
        <v>160.38131254303028</v>
      </c>
      <c r="F111" s="418">
        <f t="shared" si="2"/>
        <v>100.23832033939392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3178447</v>
      </c>
      <c r="E112" s="391">
        <f t="shared" si="1"/>
        <v>157.75963475270134</v>
      </c>
      <c r="F112" s="418">
        <f t="shared" si="2"/>
        <v>98.599771720438341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3234954</v>
      </c>
      <c r="E113" s="392">
        <f t="shared" si="1"/>
        <v>160.56431379280201</v>
      </c>
      <c r="F113" s="419">
        <f t="shared" si="2"/>
        <v>100.35269612050126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158.4450249772442</v>
      </c>
      <c r="F115" s="421">
        <f>AVERAGE(F108:F113)</f>
        <v>99.028140610777612</v>
      </c>
    </row>
    <row r="116" spans="1:10" ht="27" customHeight="1" x14ac:dyDescent="0.4">
      <c r="A116" s="264" t="s">
        <v>103</v>
      </c>
      <c r="B116" s="296">
        <f>(B115/B114)*(B113/B112)*(B111/B110)*(B109/B108)*B107</f>
        <v>4500</v>
      </c>
      <c r="C116" s="374"/>
      <c r="D116" s="398" t="s">
        <v>84</v>
      </c>
      <c r="E116" s="396">
        <f>STDEV(E108:E113)/E115</f>
        <v>1.2122968480064365E-2</v>
      </c>
      <c r="F116" s="375">
        <f>STDEV(F108:F113)/F115</f>
        <v>1.2122968480064361E-2</v>
      </c>
      <c r="I116" s="238"/>
    </row>
    <row r="117" spans="1:10" ht="27" customHeight="1" x14ac:dyDescent="0.4">
      <c r="A117" s="455" t="s">
        <v>78</v>
      </c>
      <c r="B117" s="456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457"/>
      <c r="B118" s="458"/>
      <c r="C118" s="238"/>
      <c r="D118" s="400"/>
      <c r="E118" s="435" t="s">
        <v>123</v>
      </c>
      <c r="F118" s="436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155.84673316165103</v>
      </c>
      <c r="F119" s="422">
        <f>MIN(F108:F113)</f>
        <v>97.404208226031898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160.56431379280201</v>
      </c>
      <c r="F120" s="423">
        <f>MAX(F108:F113)</f>
        <v>100.35269612050126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7" t="str">
        <f>B26</f>
        <v>Trimethoprim</v>
      </c>
      <c r="D124" s="467"/>
      <c r="E124" s="338" t="s">
        <v>127</v>
      </c>
      <c r="F124" s="338"/>
      <c r="G124" s="424">
        <f>F115</f>
        <v>99.028140610777612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97.404208226031898</v>
      </c>
      <c r="E125" s="349" t="s">
        <v>130</v>
      </c>
      <c r="F125" s="424">
        <f>MAX(F108:F113)</f>
        <v>100.35269612050126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8" t="s">
        <v>26</v>
      </c>
      <c r="C127" s="468"/>
      <c r="E127" s="344" t="s">
        <v>27</v>
      </c>
      <c r="F127" s="379"/>
      <c r="G127" s="468" t="s">
        <v>28</v>
      </c>
      <c r="H127" s="468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Sulfamethoxazole SST</vt:lpstr>
      <vt:lpstr>Trimethoprim SST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2018-02-16T08:27:07Z</dcterms:modified>
</cp:coreProperties>
</file>