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Mar\"/>
    </mc:Choice>
  </mc:AlternateContent>
  <bookViews>
    <workbookView xWindow="0" yWindow="0" windowWidth="20490" windowHeight="7650" activeTab="4"/>
  </bookViews>
  <sheets>
    <sheet name="sulfa sst" sheetId="1" r:id="rId1"/>
    <sheet name="Uniformity" sheetId="2" r:id="rId2"/>
    <sheet name="sulfamethoxazole" sheetId="3" r:id="rId3"/>
    <sheet name="trimethoprim" sheetId="4" r:id="rId4"/>
    <sheet name="trimsst" sheetId="5" r:id="rId5"/>
  </sheets>
  <definedNames>
    <definedName name="_xlnm.Print_Area" localSheetId="0">'sulfa sst'!$A$15:$G$62</definedName>
    <definedName name="_xlnm.Print_Area" localSheetId="2">sulfamethoxazole!$A$1:$I$130</definedName>
    <definedName name="_xlnm.Print_Area" localSheetId="3">trimethoprim!$A$1:$I$131</definedName>
    <definedName name="_xlnm.Print_Area" localSheetId="4">trimsst!$A$15:$G$61</definedName>
    <definedName name="_xlnm.Print_Area" localSheetId="1">Uniformity!$A$11:$F$55</definedName>
  </definedNames>
  <calcPr calcId="162913"/>
</workbook>
</file>

<file path=xl/calcChain.xml><?xml version="1.0" encoding="utf-8"?>
<calcChain xmlns="http://schemas.openxmlformats.org/spreadsheetml/2006/main">
  <c r="F92" i="3" l="1"/>
  <c r="F93" i="3"/>
  <c r="F91" i="3"/>
  <c r="D92" i="3"/>
  <c r="D93" i="3"/>
  <c r="D91" i="3"/>
  <c r="H73" i="3"/>
  <c r="G73" i="3"/>
  <c r="F92" i="4"/>
  <c r="F93" i="4"/>
  <c r="F91" i="4"/>
  <c r="D92" i="4"/>
  <c r="D93" i="4"/>
  <c r="D91" i="4"/>
  <c r="G73" i="4"/>
  <c r="H73" i="4"/>
  <c r="F30" i="1"/>
  <c r="B43" i="5" l="1"/>
  <c r="B42" i="5"/>
  <c r="B42" i="1"/>
  <c r="B21" i="5"/>
  <c r="B22" i="5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4" i="4"/>
  <c r="F42" i="4"/>
  <c r="D42" i="4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7" i="2" l="1"/>
  <c r="D25" i="2"/>
  <c r="D41" i="2"/>
  <c r="D33" i="2"/>
  <c r="D29" i="2"/>
  <c r="I39" i="3"/>
  <c r="I39" i="4"/>
  <c r="I92" i="4"/>
  <c r="F45" i="4"/>
  <c r="F46" i="4" s="1"/>
  <c r="D45" i="4"/>
  <c r="D46" i="4" s="1"/>
  <c r="I92" i="3"/>
  <c r="D45" i="3"/>
  <c r="E39" i="3" s="1"/>
  <c r="D49" i="3"/>
  <c r="D101" i="3"/>
  <c r="D102" i="3" s="1"/>
  <c r="D101" i="4"/>
  <c r="E40" i="3"/>
  <c r="D98" i="3"/>
  <c r="E94" i="3" s="1"/>
  <c r="D102" i="4"/>
  <c r="F98" i="3"/>
  <c r="B69" i="4"/>
  <c r="E41" i="4"/>
  <c r="G39" i="4"/>
  <c r="D49" i="4"/>
  <c r="E40" i="4"/>
  <c r="G41" i="4"/>
  <c r="F98" i="4"/>
  <c r="F99" i="4" s="1"/>
  <c r="D27" i="2"/>
  <c r="D31" i="2"/>
  <c r="D35" i="2"/>
  <c r="D39" i="2"/>
  <c r="D43" i="2"/>
  <c r="C49" i="2"/>
  <c r="F44" i="3"/>
  <c r="F45" i="3" s="1"/>
  <c r="G92" i="3"/>
  <c r="D97" i="4"/>
  <c r="D98" i="4" s="1"/>
  <c r="D99" i="4" s="1"/>
  <c r="D24" i="2"/>
  <c r="D28" i="2"/>
  <c r="D32" i="2"/>
  <c r="D36" i="2"/>
  <c r="D40" i="2"/>
  <c r="D49" i="2"/>
  <c r="E41" i="3"/>
  <c r="B57" i="3"/>
  <c r="B69" i="3" s="1"/>
  <c r="G94" i="3"/>
  <c r="C50" i="2"/>
  <c r="D26" i="2"/>
  <c r="D30" i="2"/>
  <c r="D34" i="2"/>
  <c r="D38" i="2"/>
  <c r="D42" i="2"/>
  <c r="B49" i="2"/>
  <c r="D50" i="2"/>
  <c r="G93" i="3"/>
  <c r="E38" i="4" l="1"/>
  <c r="E42" i="4" s="1"/>
  <c r="E39" i="4"/>
  <c r="G38" i="4"/>
  <c r="G40" i="4"/>
  <c r="E91" i="3"/>
  <c r="D46" i="3"/>
  <c r="E38" i="3"/>
  <c r="G42" i="4"/>
  <c r="E92" i="4"/>
  <c r="E92" i="3"/>
  <c r="G91" i="3"/>
  <c r="G95" i="3" s="1"/>
  <c r="F99" i="3"/>
  <c r="G93" i="4"/>
  <c r="E91" i="4"/>
  <c r="G91" i="4"/>
  <c r="G94" i="4"/>
  <c r="G38" i="3"/>
  <c r="G41" i="3"/>
  <c r="D50" i="3" s="1"/>
  <c r="F46" i="3"/>
  <c r="G39" i="3"/>
  <c r="G40" i="3"/>
  <c r="D50" i="4"/>
  <c r="E93" i="4"/>
  <c r="G92" i="4"/>
  <c r="D99" i="3"/>
  <c r="E93" i="3"/>
  <c r="E42" i="3"/>
  <c r="E94" i="4"/>
  <c r="D52" i="4" l="1"/>
  <c r="E95" i="3"/>
  <c r="G95" i="4"/>
  <c r="D105" i="3"/>
  <c r="D103" i="3"/>
  <c r="E113" i="3" s="1"/>
  <c r="F113" i="3" s="1"/>
  <c r="G42" i="3"/>
  <c r="D52" i="3"/>
  <c r="D103" i="4"/>
  <c r="E95" i="4"/>
  <c r="D105" i="4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2" i="3"/>
  <c r="F112" i="3" s="1"/>
  <c r="E110" i="3" l="1"/>
  <c r="F110" i="3" s="1"/>
  <c r="D104" i="3"/>
  <c r="E109" i="3"/>
  <c r="F109" i="3" s="1"/>
  <c r="E111" i="3"/>
  <c r="F111" i="3" s="1"/>
  <c r="E108" i="3"/>
  <c r="G74" i="4"/>
  <c r="G72" i="4"/>
  <c r="H60" i="4"/>
  <c r="H60" i="3"/>
  <c r="G74" i="3"/>
  <c r="G72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20" i="3" l="1"/>
  <c r="E115" i="3"/>
  <c r="E116" i="3" s="1"/>
  <c r="F108" i="3"/>
  <c r="F125" i="3" s="1"/>
  <c r="E119" i="3"/>
  <c r="E117" i="3"/>
  <c r="H74" i="4"/>
  <c r="H72" i="4"/>
  <c r="E120" i="4"/>
  <c r="E117" i="4"/>
  <c r="F108" i="4"/>
  <c r="E115" i="4"/>
  <c r="E116" i="4" s="1"/>
  <c r="E119" i="4"/>
  <c r="H74" i="3"/>
  <c r="H72" i="3"/>
  <c r="D125" i="3" l="1"/>
  <c r="F119" i="3"/>
  <c r="F117" i="3"/>
  <c r="F120" i="3"/>
  <c r="F115" i="3"/>
  <c r="F116" i="3" s="1"/>
  <c r="G76" i="4"/>
  <c r="G76" i="3"/>
  <c r="F125" i="4"/>
  <c r="F120" i="4"/>
  <c r="F117" i="4"/>
  <c r="D125" i="4"/>
  <c r="F115" i="4"/>
  <c r="F119" i="4"/>
  <c r="G124" i="3" l="1"/>
  <c r="G124" i="4"/>
  <c r="F116" i="4"/>
</calcChain>
</file>

<file path=xl/sharedStrings.xml><?xml version="1.0" encoding="utf-8"?>
<sst xmlns="http://schemas.openxmlformats.org/spreadsheetml/2006/main" count="455" uniqueCount="138">
  <si>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</si>
  <si>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</si>
  <si>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</si>
  <si>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</si>
  <si>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</si>
  <si>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</si>
  <si>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</si>
  <si>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NDQB201802326</t>
  </si>
  <si>
    <t>Weight (mg):</t>
  </si>
  <si>
    <t>Sulfamethoxazole BP 800 MG &amp; Trimethoprim BP 160 MG</t>
  </si>
  <si>
    <t>Standard Conc (mg/mL):</t>
  </si>
  <si>
    <t>Each tablet contains: Sulfamethoxazole BP 800 mg and Trimethoprim BP 160 mg</t>
  </si>
  <si>
    <t>2018-02-22 14:18:35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</si>
  <si>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</si>
  <si>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</si>
  <si>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</si>
  <si>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</si>
  <si>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</si>
  <si>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</si>
  <si>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</si>
  <si>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</si>
  <si>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</si>
  <si>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</si>
  <si>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</si>
  <si>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</si>
  <si>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</si>
  <si>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</si>
  <si>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</si>
  <si>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</si>
  <si>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</si>
  <si>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</si>
  <si>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</si>
  <si>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</si>
  <si>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</si>
  <si>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</si>
  <si>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</si>
  <si>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</si>
  <si>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</si>
  <si>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</si>
  <si>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</si>
  <si>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</si>
  <si>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</si>
  <si>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</si>
  <si>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</si>
  <si>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</si>
  <si>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</si>
  <si>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</si>
  <si>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</si>
  <si>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</si>
  <si>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</si>
  <si>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</si>
  <si>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</si>
  <si>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</si>
  <si>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</si>
  <si>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</si>
  <si>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</si>
  <si>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</si>
  <si>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</si>
  <si>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</si>
  <si>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</si>
  <si>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</si>
  <si>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</si>
  <si>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</si>
  <si>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</si>
  <si>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</si>
  <si>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</si>
  <si>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</si>
  <si>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</si>
  <si>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</si>
  <si>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</si>
  <si>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</si>
  <si>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</si>
  <si>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</si>
  <si>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</si>
  <si>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</si>
  <si>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</si>
  <si>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</si>
  <si>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</si>
  <si>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</si>
  <si>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</si>
  <si>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</si>
  <si>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</si>
  <si>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</si>
  <si>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</si>
  <si>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</si>
  <si>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</si>
  <si>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</si>
  <si>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</si>
  <si>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</si>
  <si>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</si>
  <si>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</si>
  <si>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</si>
  <si>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</si>
  <si>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</si>
  <si>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</si>
  <si>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</si>
  <si>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</si>
  <si>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</si>
  <si>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</si>
  <si>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</si>
  <si>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</si>
  <si>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</si>
  <si>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</si>
  <si>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</si>
  <si>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</si>
  <si>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</si>
  <si>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</si>
  <si>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</si>
  <si>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</si>
  <si>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</si>
  <si>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</si>
  <si>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</si>
  <si>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</si>
  <si>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</si>
  <si>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</si>
  <si>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</si>
  <si>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</si>
  <si>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</si>
  <si>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</si>
  <si>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</si>
  <si>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</si>
  <si>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</si>
  <si>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</si>
  <si>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</si>
  <si>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</si>
  <si>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</si>
  <si>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</si>
  <si>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</si>
  <si>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</si>
  <si>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</si>
  <si>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</si>
  <si>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</si>
  <si>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s12-6</t>
  </si>
  <si>
    <t>trimethoprim</t>
  </si>
  <si>
    <t>t7-4</t>
  </si>
  <si>
    <t>99.398.95</t>
  </si>
  <si>
    <t>Resolution</t>
  </si>
  <si>
    <t>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</si>
</sst>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rgb="FFFFFFFF"/>
      </patternFill>
    </fill>
  </fills>
  <borders count="8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4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left"/>
    </xf>
    <xf numFmtId="164" fontId="2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2" fontId="13" fillId="7" borderId="7" xfId="0" applyNumberFormat="1" applyFont="1" applyFill="1" applyBorder="1" applyAlignment="1">
      <alignment horizontal="center"/>
    </xf>
    <xf numFmtId="0" fontId="13" fillId="7" borderId="57" xfId="0" applyFont="1" applyFill="1" applyBorder="1" applyAlignment="1">
      <alignment horizontal="center"/>
    </xf>
    <xf numFmtId="173" fontId="13" fillId="7" borderId="58" xfId="0" applyNumberFormat="1" applyFont="1" applyFill="1" applyBorder="1" applyAlignment="1">
      <alignment horizontal="center"/>
    </xf>
    <xf numFmtId="0" fontId="13" fillId="7" borderId="60" xfId="0" applyFont="1" applyFill="1" applyBorder="1" applyAlignment="1">
      <alignment horizontal="center"/>
    </xf>
    <xf numFmtId="2" fontId="13" fillId="8" borderId="59" xfId="0" applyNumberFormat="1" applyFont="1" applyFill="1" applyBorder="1" applyAlignment="1">
      <alignment horizontal="center"/>
    </xf>
    <xf numFmtId="171" fontId="11" fillId="2" borderId="48" xfId="0" applyNumberFormat="1" applyFont="1" applyFill="1" applyBorder="1" applyAlignment="1">
      <alignment horizontal="center"/>
    </xf>
    <xf numFmtId="171" fontId="11" fillId="2" borderId="0" xfId="0" applyNumberFormat="1" applyFont="1" applyFill="1" applyBorder="1" applyAlignment="1">
      <alignment horizontal="center"/>
    </xf>
    <xf numFmtId="171" fontId="11" fillId="2" borderId="7" xfId="0" applyNumberFormat="1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center"/>
    </xf>
    <xf numFmtId="171" fontId="11" fillId="2" borderId="24" xfId="0" applyNumberFormat="1" applyFont="1" applyFill="1" applyBorder="1" applyAlignment="1">
      <alignment horizontal="center"/>
    </xf>
    <xf numFmtId="171" fontId="11" fillId="2" borderId="3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11" fillId="2" borderId="34" xfId="0" applyFont="1" applyFill="1" applyBorder="1" applyAlignment="1">
      <alignment horizontal="right"/>
    </xf>
    <xf numFmtId="0" fontId="11" fillId="2" borderId="61" xfId="0" applyFont="1" applyFill="1" applyBorder="1" applyAlignment="1">
      <alignment horizontal="right"/>
    </xf>
    <xf numFmtId="173" fontId="13" fillId="7" borderId="62" xfId="0" applyNumberFormat="1" applyFont="1" applyFill="1" applyBorder="1" applyAlignment="1">
      <alignment horizontal="center"/>
    </xf>
    <xf numFmtId="2" fontId="13" fillId="8" borderId="63" xfId="0" applyNumberFormat="1" applyFont="1" applyFill="1" applyBorder="1" applyAlignment="1">
      <alignment horizontal="center"/>
    </xf>
    <xf numFmtId="0" fontId="13" fillId="7" borderId="64" xfId="0" applyFont="1" applyFill="1" applyBorder="1" applyAlignment="1">
      <alignment horizontal="center"/>
    </xf>
    <xf numFmtId="2" fontId="13" fillId="7" borderId="58" xfId="0" applyNumberFormat="1" applyFont="1" applyFill="1" applyBorder="1" applyAlignment="1">
      <alignment horizontal="center"/>
    </xf>
    <xf numFmtId="0" fontId="13" fillId="3" borderId="65" xfId="0" applyFont="1" applyFill="1" applyBorder="1" applyAlignment="1" applyProtection="1">
      <alignment horizontal="center"/>
      <protection locked="0"/>
    </xf>
    <xf numFmtId="0" fontId="13" fillId="3" borderId="66" xfId="0" applyFont="1" applyFill="1" applyBorder="1" applyAlignment="1" applyProtection="1">
      <alignment horizontal="center"/>
      <protection locked="0"/>
    </xf>
    <xf numFmtId="0" fontId="13" fillId="3" borderId="67" xfId="0" applyFont="1" applyFill="1" applyBorder="1" applyAlignment="1" applyProtection="1">
      <alignment horizontal="center"/>
      <protection locked="0"/>
    </xf>
    <xf numFmtId="0" fontId="12" fillId="2" borderId="68" xfId="0" applyFont="1" applyFill="1" applyBorder="1" applyAlignment="1">
      <alignment horizontal="center"/>
    </xf>
    <xf numFmtId="0" fontId="13" fillId="3" borderId="69" xfId="0" applyFont="1" applyFill="1" applyBorder="1" applyAlignment="1" applyProtection="1">
      <alignment horizontal="center"/>
      <protection locked="0"/>
    </xf>
    <xf numFmtId="0" fontId="13" fillId="3" borderId="70" xfId="0" applyFont="1" applyFill="1" applyBorder="1" applyAlignment="1" applyProtection="1">
      <alignment horizontal="center"/>
      <protection locked="0"/>
    </xf>
    <xf numFmtId="0" fontId="13" fillId="3" borderId="71" xfId="0" applyFont="1" applyFill="1" applyBorder="1" applyAlignment="1" applyProtection="1">
      <alignment horizontal="center"/>
      <protection locked="0"/>
    </xf>
    <xf numFmtId="1" fontId="12" fillId="6" borderId="72" xfId="0" applyNumberFormat="1" applyFont="1" applyFill="1" applyBorder="1" applyAlignment="1">
      <alignment horizontal="center"/>
    </xf>
    <xf numFmtId="0" fontId="12" fillId="2" borderId="73" xfId="0" applyFont="1" applyFill="1" applyBorder="1" applyAlignment="1">
      <alignment horizontal="center"/>
    </xf>
    <xf numFmtId="0" fontId="12" fillId="2" borderId="74" xfId="0" applyFont="1" applyFill="1" applyBorder="1" applyAlignment="1">
      <alignment horizontal="center"/>
    </xf>
    <xf numFmtId="0" fontId="12" fillId="2" borderId="75" xfId="0" applyFont="1" applyFill="1" applyBorder="1" applyAlignment="1">
      <alignment horizontal="center"/>
    </xf>
    <xf numFmtId="0" fontId="12" fillId="2" borderId="76" xfId="0" applyFont="1" applyFill="1" applyBorder="1" applyAlignment="1">
      <alignment horizontal="center"/>
    </xf>
    <xf numFmtId="0" fontId="13" fillId="3" borderId="77" xfId="0" applyFont="1" applyFill="1" applyBorder="1" applyAlignment="1" applyProtection="1">
      <alignment horizontal="center"/>
      <protection locked="0"/>
    </xf>
    <xf numFmtId="171" fontId="11" fillId="2" borderId="78" xfId="0" applyNumberFormat="1" applyFont="1" applyFill="1" applyBorder="1" applyAlignment="1">
      <alignment horizontal="center"/>
    </xf>
    <xf numFmtId="0" fontId="13" fillId="3" borderId="79" xfId="0" applyFont="1" applyFill="1" applyBorder="1" applyAlignment="1" applyProtection="1">
      <alignment horizontal="center"/>
      <protection locked="0"/>
    </xf>
    <xf numFmtId="171" fontId="11" fillId="2" borderId="80" xfId="0" applyNumberFormat="1" applyFont="1" applyFill="1" applyBorder="1" applyAlignment="1">
      <alignment horizontal="center"/>
    </xf>
    <xf numFmtId="0" fontId="13" fillId="3" borderId="81" xfId="0" applyFont="1" applyFill="1" applyBorder="1" applyAlignment="1" applyProtection="1">
      <alignment horizontal="center"/>
      <protection locked="0"/>
    </xf>
    <xf numFmtId="171" fontId="11" fillId="2" borderId="82" xfId="0" applyNumberFormat="1" applyFont="1" applyFill="1" applyBorder="1" applyAlignment="1">
      <alignment horizontal="center"/>
    </xf>
    <xf numFmtId="1" fontId="12" fillId="6" borderId="83" xfId="0" applyNumberFormat="1" applyFont="1" applyFill="1" applyBorder="1" applyAlignment="1">
      <alignment horizontal="center"/>
    </xf>
    <xf numFmtId="171" fontId="12" fillId="6" borderId="84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right"/>
    </xf>
    <xf numFmtId="171" fontId="12" fillId="7" borderId="45" xfId="0" applyNumberFormat="1" applyFont="1" applyFill="1" applyBorder="1" applyAlignment="1">
      <alignment horizontal="center"/>
    </xf>
    <xf numFmtId="0" fontId="13" fillId="3" borderId="85" xfId="0" applyFont="1" applyFill="1" applyBorder="1" applyAlignment="1" applyProtection="1">
      <alignment horizontal="center"/>
      <protection locked="0"/>
    </xf>
    <xf numFmtId="2" fontId="11" fillId="6" borderId="86" xfId="0" applyNumberFormat="1" applyFont="1" applyFill="1" applyBorder="1" applyAlignment="1">
      <alignment horizontal="center"/>
    </xf>
    <xf numFmtId="2" fontId="11" fillId="7" borderId="86" xfId="0" applyNumberFormat="1" applyFont="1" applyFill="1" applyBorder="1" applyAlignment="1">
      <alignment horizontal="center"/>
    </xf>
    <xf numFmtId="166" fontId="11" fillId="6" borderId="86" xfId="0" applyNumberFormat="1" applyFont="1" applyFill="1" applyBorder="1" applyAlignment="1">
      <alignment horizontal="center"/>
    </xf>
    <xf numFmtId="166" fontId="11" fillId="7" borderId="86" xfId="0" applyNumberFormat="1" applyFont="1" applyFill="1" applyBorder="1" applyAlignment="1">
      <alignment horizontal="center"/>
    </xf>
    <xf numFmtId="2" fontId="11" fillId="7" borderId="87" xfId="0" applyNumberFormat="1" applyFont="1" applyFill="1" applyBorder="1" applyAlignment="1">
      <alignment horizontal="center"/>
    </xf>
  </cellXfs>
  <cellStyles count="1">
    <cellStyle name="Normal" xfId="0" builtinId="0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 val="0"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b val="0"/>
        <i val="0"/>
        <strike val="0"/>
        <sz val="10"/>
        <color rgb="FFFF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zoomScaleNormal="100" workbookViewId="0">
      <selection activeCell="C30" sqref="C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0" t="s">
        <v>0</v>
      </c>
      <c r="B15" s="450"/>
      <c r="C15" s="450"/>
      <c r="D15" s="450"/>
      <c r="E15" s="45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72"/>
      <c r="D17" s="9"/>
      <c r="E17" s="10"/>
    </row>
    <row r="18" spans="1:6" ht="16.5" customHeight="1" x14ac:dyDescent="0.3">
      <c r="A18" s="11" t="s">
        <v>4</v>
      </c>
      <c r="B18" s="448" t="s">
        <v>131</v>
      </c>
      <c r="C18" s="72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72"/>
      <c r="D19" s="10"/>
      <c r="E19" s="10"/>
    </row>
    <row r="20" spans="1:6" ht="16.5" customHeight="1" x14ac:dyDescent="0.3">
      <c r="A20" s="7" t="s">
        <v>8</v>
      </c>
      <c r="B20" s="12">
        <v>17.059999999999999</v>
      </c>
      <c r="C20" s="72"/>
      <c r="D20" s="10"/>
      <c r="E20" s="10"/>
    </row>
    <row r="21" spans="1:6" ht="16.5" customHeight="1" x14ac:dyDescent="0.3">
      <c r="A21" s="7" t="s">
        <v>10</v>
      </c>
      <c r="B21" s="13">
        <f>17.06/100</f>
        <v>0.17059999999999997</v>
      </c>
      <c r="C21" s="72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136</v>
      </c>
    </row>
    <row r="24" spans="1:6" ht="16.5" customHeight="1" x14ac:dyDescent="0.3">
      <c r="A24" s="17">
        <v>1</v>
      </c>
      <c r="B24" s="18">
        <v>73665751</v>
      </c>
      <c r="C24" s="18">
        <v>13561.9</v>
      </c>
      <c r="D24" s="19">
        <v>1</v>
      </c>
      <c r="E24" s="20">
        <v>12.7</v>
      </c>
      <c r="F24" s="20">
        <v>22.6</v>
      </c>
    </row>
    <row r="25" spans="1:6" ht="16.5" customHeight="1" x14ac:dyDescent="0.3">
      <c r="A25" s="17">
        <v>2</v>
      </c>
      <c r="B25" s="18">
        <v>72883611</v>
      </c>
      <c r="C25" s="18">
        <v>13651.6</v>
      </c>
      <c r="D25" s="19">
        <v>1</v>
      </c>
      <c r="E25" s="19">
        <v>12.7</v>
      </c>
      <c r="F25" s="19">
        <v>22.6</v>
      </c>
    </row>
    <row r="26" spans="1:6" ht="16.5" customHeight="1" x14ac:dyDescent="0.3">
      <c r="A26" s="17">
        <v>3</v>
      </c>
      <c r="B26" s="18">
        <v>73385983</v>
      </c>
      <c r="C26" s="18">
        <v>13601.2</v>
      </c>
      <c r="D26" s="19">
        <v>1.1000000000000001</v>
      </c>
      <c r="E26" s="19">
        <v>12.7</v>
      </c>
      <c r="F26" s="19">
        <v>22.6</v>
      </c>
    </row>
    <row r="27" spans="1:6" ht="16.5" customHeight="1" x14ac:dyDescent="0.3">
      <c r="A27" s="17">
        <v>4</v>
      </c>
      <c r="B27" s="18">
        <v>73621845</v>
      </c>
      <c r="C27" s="18">
        <v>13532.5</v>
      </c>
      <c r="D27" s="19">
        <v>1</v>
      </c>
      <c r="E27" s="19">
        <v>12.7</v>
      </c>
      <c r="F27" s="19">
        <v>22.5</v>
      </c>
    </row>
    <row r="28" spans="1:6" ht="16.5" customHeight="1" x14ac:dyDescent="0.3">
      <c r="A28" s="17">
        <v>5</v>
      </c>
      <c r="B28" s="18">
        <v>73636197</v>
      </c>
      <c r="C28" s="18">
        <v>13479.4</v>
      </c>
      <c r="D28" s="19">
        <v>1</v>
      </c>
      <c r="E28" s="19">
        <v>12.7</v>
      </c>
      <c r="F28" s="19">
        <v>22.5</v>
      </c>
    </row>
    <row r="29" spans="1:6" ht="16.5" customHeight="1" x14ac:dyDescent="0.3">
      <c r="A29" s="17">
        <v>6</v>
      </c>
      <c r="B29" s="21">
        <v>73502866</v>
      </c>
      <c r="C29" s="21">
        <v>13471.9</v>
      </c>
      <c r="D29" s="22">
        <v>1</v>
      </c>
      <c r="E29" s="22">
        <v>12.7</v>
      </c>
      <c r="F29" s="22">
        <v>22.5</v>
      </c>
    </row>
    <row r="30" spans="1:6" ht="16.5" customHeight="1" x14ac:dyDescent="0.3">
      <c r="A30" s="23" t="s">
        <v>18</v>
      </c>
      <c r="B30" s="24">
        <f>AVERAGE(B24:B29)</f>
        <v>73449375.5</v>
      </c>
      <c r="C30" s="25">
        <f>AVERAGE(C24:C29)</f>
        <v>13549.749999999998</v>
      </c>
      <c r="D30" s="26">
        <f>AVERAGE(D24:D29)</f>
        <v>1.0166666666666666</v>
      </c>
      <c r="E30" s="26">
        <f>AVERAGE(E24:E29)</f>
        <v>12.700000000000001</v>
      </c>
      <c r="F30" s="26">
        <f>AVERAGE(F24:F29)</f>
        <v>22.55</v>
      </c>
    </row>
    <row r="31" spans="1:6" ht="16.5" customHeight="1" x14ac:dyDescent="0.3">
      <c r="A31" s="27" t="s">
        <v>19</v>
      </c>
      <c r="B31" s="28">
        <f>(STDEV(B24:B29)/B30)</f>
        <v>4.0316222231168179E-3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448" t="s">
        <v>131</v>
      </c>
      <c r="C39" s="72"/>
      <c r="D39" s="10"/>
      <c r="E39" s="10"/>
    </row>
    <row r="40" spans="1:6" ht="16.5" customHeight="1" x14ac:dyDescent="0.3">
      <c r="A40" s="11" t="s">
        <v>6</v>
      </c>
      <c r="B40" s="12">
        <v>99.02</v>
      </c>
      <c r="C40" s="72"/>
      <c r="D40" s="10"/>
      <c r="E40" s="10"/>
    </row>
    <row r="41" spans="1:6" ht="16.5" customHeight="1" x14ac:dyDescent="0.3">
      <c r="A41" s="7" t="s">
        <v>8</v>
      </c>
      <c r="B41" s="12">
        <v>17.059999999999999</v>
      </c>
      <c r="C41" s="72"/>
      <c r="D41" s="10"/>
      <c r="E41" s="10"/>
    </row>
    <row r="42" spans="1:6" ht="16.5" customHeight="1" x14ac:dyDescent="0.3">
      <c r="A42" s="7" t="s">
        <v>10</v>
      </c>
      <c r="B42" s="13">
        <f>17.06/100</f>
        <v>0.17059999999999997</v>
      </c>
      <c r="C42" s="72"/>
      <c r="D42" s="10"/>
      <c r="E42" s="10"/>
    </row>
    <row r="43" spans="1:6" ht="15.75" customHeight="1" x14ac:dyDescent="0.3">
      <c r="A43" s="10"/>
      <c r="B43" s="13"/>
      <c r="C43" s="72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73665751</v>
      </c>
      <c r="C45" s="18">
        <v>13561.9</v>
      </c>
      <c r="D45" s="19">
        <v>1</v>
      </c>
      <c r="E45" s="20">
        <v>12.7</v>
      </c>
    </row>
    <row r="46" spans="1:6" ht="16.5" customHeight="1" x14ac:dyDescent="0.3">
      <c r="A46" s="17">
        <v>2</v>
      </c>
      <c r="B46" s="18">
        <v>72883611</v>
      </c>
      <c r="C46" s="18">
        <v>13651.6</v>
      </c>
      <c r="D46" s="19">
        <v>1</v>
      </c>
      <c r="E46" s="19">
        <v>12.7</v>
      </c>
    </row>
    <row r="47" spans="1:6" ht="16.5" customHeight="1" x14ac:dyDescent="0.3">
      <c r="A47" s="17">
        <v>3</v>
      </c>
      <c r="B47" s="18">
        <v>73385983</v>
      </c>
      <c r="C47" s="18">
        <v>13601.2</v>
      </c>
      <c r="D47" s="19">
        <v>1.1000000000000001</v>
      </c>
      <c r="E47" s="19">
        <v>12.7</v>
      </c>
    </row>
    <row r="48" spans="1:6" ht="16.5" customHeight="1" x14ac:dyDescent="0.3">
      <c r="A48" s="17">
        <v>4</v>
      </c>
      <c r="B48" s="18">
        <v>73621845</v>
      </c>
      <c r="C48" s="18">
        <v>13532.5</v>
      </c>
      <c r="D48" s="19">
        <v>1</v>
      </c>
      <c r="E48" s="19">
        <v>12.7</v>
      </c>
    </row>
    <row r="49" spans="1:7" ht="16.5" customHeight="1" x14ac:dyDescent="0.3">
      <c r="A49" s="17">
        <v>5</v>
      </c>
      <c r="B49" s="18">
        <v>73636197</v>
      </c>
      <c r="C49" s="18">
        <v>13479.4</v>
      </c>
      <c r="D49" s="19">
        <v>1</v>
      </c>
      <c r="E49" s="19">
        <v>12.7</v>
      </c>
    </row>
    <row r="50" spans="1:7" ht="16.5" customHeight="1" x14ac:dyDescent="0.3">
      <c r="A50" s="17">
        <v>6</v>
      </c>
      <c r="B50" s="21">
        <v>73502866</v>
      </c>
      <c r="C50" s="21">
        <v>13470.9</v>
      </c>
      <c r="D50" s="22">
        <v>1</v>
      </c>
      <c r="E50" s="22">
        <v>12.7</v>
      </c>
    </row>
    <row r="51" spans="1:7" ht="16.5" customHeight="1" x14ac:dyDescent="0.3">
      <c r="A51" s="23" t="s">
        <v>18</v>
      </c>
      <c r="B51" s="24">
        <f>AVERAGE(B45:B50)</f>
        <v>73449375.5</v>
      </c>
      <c r="C51" s="25">
        <f>AVERAGE(C45:C50)</f>
        <v>13549.58333333333</v>
      </c>
      <c r="D51" s="26">
        <f>AVERAGE(D45:D50)</f>
        <v>1.0166666666666666</v>
      </c>
      <c r="E51" s="26">
        <f>AVERAGE(E45:E50)</f>
        <v>12.700000000000001</v>
      </c>
    </row>
    <row r="52" spans="1:7" ht="16.5" customHeight="1" x14ac:dyDescent="0.3">
      <c r="A52" s="27" t="s">
        <v>19</v>
      </c>
      <c r="B52" s="28">
        <f>(STDEV(B45:B50)/B51)</f>
        <v>4.0316222231168179E-3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51" t="s">
        <v>26</v>
      </c>
      <c r="C59" s="45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4" workbookViewId="0">
      <selection activeCell="A11" sqref="A11:F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55" t="s">
        <v>31</v>
      </c>
      <c r="B11" s="456"/>
      <c r="C11" s="456"/>
      <c r="D11" s="456"/>
      <c r="E11" s="456"/>
      <c r="F11" s="457"/>
      <c r="G11" s="91"/>
    </row>
    <row r="12" spans="1:7" ht="16.5" customHeight="1" x14ac:dyDescent="0.3">
      <c r="A12" s="454" t="s">
        <v>32</v>
      </c>
      <c r="B12" s="454"/>
      <c r="C12" s="454"/>
      <c r="D12" s="454"/>
      <c r="E12" s="454"/>
      <c r="F12" s="454"/>
      <c r="G12" s="90"/>
    </row>
    <row r="14" spans="1:7" ht="16.5" customHeight="1" x14ac:dyDescent="0.3">
      <c r="A14" s="459" t="s">
        <v>33</v>
      </c>
      <c r="B14" s="459"/>
      <c r="C14" s="60" t="s">
        <v>5</v>
      </c>
    </row>
    <row r="15" spans="1:7" ht="16.5" customHeight="1" x14ac:dyDescent="0.3">
      <c r="A15" s="459" t="s">
        <v>34</v>
      </c>
      <c r="B15" s="459"/>
      <c r="C15" s="60" t="s">
        <v>7</v>
      </c>
    </row>
    <row r="16" spans="1:7" ht="16.5" customHeight="1" x14ac:dyDescent="0.3">
      <c r="A16" s="459" t="s">
        <v>35</v>
      </c>
      <c r="B16" s="459"/>
      <c r="C16" s="60" t="s">
        <v>9</v>
      </c>
    </row>
    <row r="17" spans="1:5" ht="16.5" customHeight="1" x14ac:dyDescent="0.3">
      <c r="A17" s="459" t="s">
        <v>36</v>
      </c>
      <c r="B17" s="459"/>
      <c r="C17" s="60" t="s">
        <v>11</v>
      </c>
    </row>
    <row r="18" spans="1:5" ht="16.5" customHeight="1" x14ac:dyDescent="0.3">
      <c r="A18" s="459" t="s">
        <v>37</v>
      </c>
      <c r="B18" s="459"/>
      <c r="C18" s="97" t="s">
        <v>12</v>
      </c>
    </row>
    <row r="19" spans="1:5" ht="16.5" customHeight="1" x14ac:dyDescent="0.3">
      <c r="A19" s="459" t="s">
        <v>38</v>
      </c>
      <c r="B19" s="45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54" t="s">
        <v>1</v>
      </c>
      <c r="B21" s="454"/>
      <c r="C21" s="59" t="s">
        <v>39</v>
      </c>
      <c r="D21" s="66"/>
    </row>
    <row r="22" spans="1:5" ht="15.75" customHeight="1" x14ac:dyDescent="0.3">
      <c r="A22" s="458"/>
      <c r="B22" s="458"/>
      <c r="C22" s="57"/>
      <c r="D22" s="458"/>
      <c r="E22" s="45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1063.83</v>
      </c>
      <c r="D24" s="87">
        <f t="shared" ref="D24:D43" si="0">(C24-$C$46)/$C$46</f>
        <v>-2.1989897490184984E-2</v>
      </c>
      <c r="E24" s="53"/>
    </row>
    <row r="25" spans="1:5" ht="15.75" customHeight="1" x14ac:dyDescent="0.3">
      <c r="C25" s="95">
        <v>1094.58</v>
      </c>
      <c r="D25" s="88">
        <f t="shared" si="0"/>
        <v>6.2794788689859472E-3</v>
      </c>
      <c r="E25" s="53"/>
    </row>
    <row r="26" spans="1:5" ht="15.75" customHeight="1" x14ac:dyDescent="0.3">
      <c r="C26" s="95">
        <v>1082.74</v>
      </c>
      <c r="D26" s="88">
        <f t="shared" si="0"/>
        <v>-4.605380190935403E-3</v>
      </c>
      <c r="E26" s="53"/>
    </row>
    <row r="27" spans="1:5" ht="15.75" customHeight="1" x14ac:dyDescent="0.3">
      <c r="C27" s="95">
        <v>1089.92</v>
      </c>
      <c r="D27" s="88">
        <f t="shared" si="0"/>
        <v>1.9954042727670066E-3</v>
      </c>
      <c r="E27" s="53"/>
    </row>
    <row r="28" spans="1:5" ht="15.75" customHeight="1" x14ac:dyDescent="0.3">
      <c r="C28" s="95">
        <v>1096.01</v>
      </c>
      <c r="D28" s="88">
        <f t="shared" si="0"/>
        <v>7.5941197858515157E-3</v>
      </c>
      <c r="E28" s="53"/>
    </row>
    <row r="29" spans="1:5" ht="15.75" customHeight="1" x14ac:dyDescent="0.3">
      <c r="C29" s="95">
        <v>1069.17</v>
      </c>
      <c r="D29" s="88">
        <f t="shared" si="0"/>
        <v>-1.7080678961470291E-2</v>
      </c>
      <c r="E29" s="53"/>
    </row>
    <row r="30" spans="1:5" ht="15.75" customHeight="1" x14ac:dyDescent="0.3">
      <c r="C30" s="95">
        <v>1105.98</v>
      </c>
      <c r="D30" s="88">
        <f t="shared" si="0"/>
        <v>1.6759833031410376E-2</v>
      </c>
      <c r="E30" s="53"/>
    </row>
    <row r="31" spans="1:5" ht="15.75" customHeight="1" x14ac:dyDescent="0.3">
      <c r="C31" s="95">
        <v>1086.3599999999999</v>
      </c>
      <c r="D31" s="88">
        <f t="shared" si="0"/>
        <v>-1.2774080797095272E-3</v>
      </c>
      <c r="E31" s="53"/>
    </row>
    <row r="32" spans="1:5" ht="15.75" customHeight="1" x14ac:dyDescent="0.3">
      <c r="C32" s="95">
        <v>1063.43</v>
      </c>
      <c r="D32" s="88">
        <f t="shared" si="0"/>
        <v>-2.2357629215182206E-2</v>
      </c>
      <c r="E32" s="53"/>
    </row>
    <row r="33" spans="1:7" ht="15.75" customHeight="1" x14ac:dyDescent="0.3">
      <c r="C33" s="95">
        <v>1108.06</v>
      </c>
      <c r="D33" s="88">
        <f t="shared" si="0"/>
        <v>1.8672038001396506E-2</v>
      </c>
      <c r="E33" s="53"/>
    </row>
    <row r="34" spans="1:7" ht="15.75" customHeight="1" x14ac:dyDescent="0.3">
      <c r="C34" s="95">
        <v>1101.06</v>
      </c>
      <c r="D34" s="88">
        <f t="shared" si="0"/>
        <v>1.223673281394296E-2</v>
      </c>
      <c r="E34" s="53"/>
    </row>
    <row r="35" spans="1:7" ht="15.75" customHeight="1" x14ac:dyDescent="0.3">
      <c r="C35" s="95">
        <v>1090.3800000000001</v>
      </c>
      <c r="D35" s="88">
        <f t="shared" si="0"/>
        <v>2.4182957565139873E-3</v>
      </c>
      <c r="E35" s="53"/>
    </row>
    <row r="36" spans="1:7" ht="15.75" customHeight="1" x14ac:dyDescent="0.3">
      <c r="C36" s="95">
        <v>1073.03</v>
      </c>
      <c r="D36" s="88">
        <f t="shared" si="0"/>
        <v>-1.3532067815245997E-2</v>
      </c>
      <c r="E36" s="53"/>
    </row>
    <row r="37" spans="1:7" ht="15.75" customHeight="1" x14ac:dyDescent="0.3">
      <c r="C37" s="95">
        <v>1086.31</v>
      </c>
      <c r="D37" s="88">
        <f t="shared" si="0"/>
        <v>-1.3233745453341535E-3</v>
      </c>
      <c r="E37" s="53"/>
    </row>
    <row r="38" spans="1:7" ht="15.75" customHeight="1" x14ac:dyDescent="0.3">
      <c r="C38" s="95">
        <v>1086.2</v>
      </c>
      <c r="D38" s="88">
        <f t="shared" si="0"/>
        <v>-1.4245007697083316E-3</v>
      </c>
      <c r="E38" s="53"/>
    </row>
    <row r="39" spans="1:7" ht="15.75" customHeight="1" x14ac:dyDescent="0.3">
      <c r="C39" s="95">
        <v>1095.03</v>
      </c>
      <c r="D39" s="88">
        <f t="shared" si="0"/>
        <v>6.6931770596080032E-3</v>
      </c>
      <c r="E39" s="53"/>
    </row>
    <row r="40" spans="1:7" ht="15.75" customHeight="1" x14ac:dyDescent="0.3">
      <c r="C40" s="95">
        <v>1084.6199999999999</v>
      </c>
      <c r="D40" s="88">
        <f t="shared" si="0"/>
        <v>-2.8770410834479884E-3</v>
      </c>
      <c r="E40" s="53"/>
    </row>
    <row r="41" spans="1:7" ht="15.75" customHeight="1" x14ac:dyDescent="0.3">
      <c r="C41" s="95">
        <v>1085.25</v>
      </c>
      <c r="D41" s="88">
        <f t="shared" si="0"/>
        <v>-2.2978636165770687E-3</v>
      </c>
      <c r="E41" s="53"/>
    </row>
    <row r="42" spans="1:7" ht="15.75" customHeight="1" x14ac:dyDescent="0.3">
      <c r="C42" s="95">
        <v>1104.8699999999999</v>
      </c>
      <c r="D42" s="88">
        <f t="shared" si="0"/>
        <v>1.5739377494542624E-2</v>
      </c>
      <c r="E42" s="53"/>
    </row>
    <row r="43" spans="1:7" ht="16.5" customHeight="1" x14ac:dyDescent="0.3">
      <c r="C43" s="96">
        <v>1088.1600000000001</v>
      </c>
      <c r="D43" s="89">
        <f t="shared" si="0"/>
        <v>3.7738468277869467E-4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21754.989999999998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1087.7494999999999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52">
        <f>C46</f>
        <v>1087.7494999999999</v>
      </c>
      <c r="C49" s="93">
        <f>-IF(C46&lt;=80,10%,IF(C46&lt;250,7.5%,5%))</f>
        <v>-0.05</v>
      </c>
      <c r="D49" s="81">
        <f>IF(C46&lt;=80,C46*0.9,IF(C46&lt;250,C46*0.925,C46*0.95))</f>
        <v>1033.3620249999999</v>
      </c>
    </row>
    <row r="50" spans="1:6" ht="17.25" customHeight="1" x14ac:dyDescent="0.3">
      <c r="B50" s="453"/>
      <c r="C50" s="94">
        <f>IF(C46&lt;=80, 10%, IF(C46&lt;250, 7.5%, 5%))</f>
        <v>0.05</v>
      </c>
      <c r="D50" s="81">
        <f>IF(C46&lt;=80, C46*1.1, IF(C46&lt;250, C46*1.075, C46*1.05))</f>
        <v>1142.1369749999999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3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105" zoomScale="55" zoomScaleNormal="40" zoomScalePageLayoutView="55" workbookViewId="0">
      <selection activeCell="H73" sqref="H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0" t="s">
        <v>45</v>
      </c>
      <c r="B1" s="460"/>
      <c r="C1" s="460"/>
      <c r="D1" s="460"/>
      <c r="E1" s="460"/>
      <c r="F1" s="460"/>
      <c r="G1" s="460"/>
      <c r="H1" s="460"/>
      <c r="I1" s="460"/>
    </row>
    <row r="2" spans="1:9" ht="18.75" customHeight="1" x14ac:dyDescent="0.25">
      <c r="A2" s="460"/>
      <c r="B2" s="460"/>
      <c r="C2" s="460"/>
      <c r="D2" s="460"/>
      <c r="E2" s="460"/>
      <c r="F2" s="460"/>
      <c r="G2" s="460"/>
      <c r="H2" s="460"/>
      <c r="I2" s="460"/>
    </row>
    <row r="3" spans="1:9" ht="18.75" customHeight="1" x14ac:dyDescent="0.25">
      <c r="A3" s="460"/>
      <c r="B3" s="460"/>
      <c r="C3" s="460"/>
      <c r="D3" s="460"/>
      <c r="E3" s="460"/>
      <c r="F3" s="460"/>
      <c r="G3" s="460"/>
      <c r="H3" s="460"/>
      <c r="I3" s="460"/>
    </row>
    <row r="4" spans="1:9" ht="18.75" customHeight="1" x14ac:dyDescent="0.25">
      <c r="A4" s="460"/>
      <c r="B4" s="460"/>
      <c r="C4" s="460"/>
      <c r="D4" s="460"/>
      <c r="E4" s="460"/>
      <c r="F4" s="460"/>
      <c r="G4" s="460"/>
      <c r="H4" s="460"/>
      <c r="I4" s="460"/>
    </row>
    <row r="5" spans="1:9" ht="18.75" customHeight="1" x14ac:dyDescent="0.25">
      <c r="A5" s="460"/>
      <c r="B5" s="460"/>
      <c r="C5" s="460"/>
      <c r="D5" s="460"/>
      <c r="E5" s="460"/>
      <c r="F5" s="460"/>
      <c r="G5" s="460"/>
      <c r="H5" s="460"/>
      <c r="I5" s="460"/>
    </row>
    <row r="6" spans="1:9" ht="18.75" customHeight="1" x14ac:dyDescent="0.25">
      <c r="A6" s="460"/>
      <c r="B6" s="460"/>
      <c r="C6" s="460"/>
      <c r="D6" s="460"/>
      <c r="E6" s="460"/>
      <c r="F6" s="460"/>
      <c r="G6" s="460"/>
      <c r="H6" s="460"/>
      <c r="I6" s="460"/>
    </row>
    <row r="7" spans="1:9" ht="18.75" customHeight="1" x14ac:dyDescent="0.25">
      <c r="A7" s="460"/>
      <c r="B7" s="460"/>
      <c r="C7" s="460"/>
      <c r="D7" s="460"/>
      <c r="E7" s="460"/>
      <c r="F7" s="460"/>
      <c r="G7" s="460"/>
      <c r="H7" s="460"/>
      <c r="I7" s="460"/>
    </row>
    <row r="8" spans="1:9" x14ac:dyDescent="0.25">
      <c r="A8" s="461" t="s">
        <v>46</v>
      </c>
      <c r="B8" s="461"/>
      <c r="C8" s="461"/>
      <c r="D8" s="461"/>
      <c r="E8" s="461"/>
      <c r="F8" s="461"/>
      <c r="G8" s="461"/>
      <c r="H8" s="461"/>
      <c r="I8" s="461"/>
    </row>
    <row r="9" spans="1:9" x14ac:dyDescent="0.25">
      <c r="A9" s="461"/>
      <c r="B9" s="461"/>
      <c r="C9" s="461"/>
      <c r="D9" s="461"/>
      <c r="E9" s="461"/>
      <c r="F9" s="461"/>
      <c r="G9" s="461"/>
      <c r="H9" s="461"/>
      <c r="I9" s="461"/>
    </row>
    <row r="10" spans="1:9" x14ac:dyDescent="0.25">
      <c r="A10" s="461"/>
      <c r="B10" s="461"/>
      <c r="C10" s="461"/>
      <c r="D10" s="461"/>
      <c r="E10" s="461"/>
      <c r="F10" s="461"/>
      <c r="G10" s="461"/>
      <c r="H10" s="461"/>
      <c r="I10" s="461"/>
    </row>
    <row r="11" spans="1:9" x14ac:dyDescent="0.25">
      <c r="A11" s="461"/>
      <c r="B11" s="461"/>
      <c r="C11" s="461"/>
      <c r="D11" s="461"/>
      <c r="E11" s="461"/>
      <c r="F11" s="461"/>
      <c r="G11" s="461"/>
      <c r="H11" s="461"/>
      <c r="I11" s="461"/>
    </row>
    <row r="12" spans="1:9" x14ac:dyDescent="0.25">
      <c r="A12" s="461"/>
      <c r="B12" s="461"/>
      <c r="C12" s="461"/>
      <c r="D12" s="461"/>
      <c r="E12" s="461"/>
      <c r="F12" s="461"/>
      <c r="G12" s="461"/>
      <c r="H12" s="461"/>
      <c r="I12" s="461"/>
    </row>
    <row r="13" spans="1:9" x14ac:dyDescent="0.25">
      <c r="A13" s="461"/>
      <c r="B13" s="461"/>
      <c r="C13" s="461"/>
      <c r="D13" s="461"/>
      <c r="E13" s="461"/>
      <c r="F13" s="461"/>
      <c r="G13" s="461"/>
      <c r="H13" s="461"/>
      <c r="I13" s="461"/>
    </row>
    <row r="14" spans="1:9" x14ac:dyDescent="0.25">
      <c r="A14" s="461"/>
      <c r="B14" s="461"/>
      <c r="C14" s="461"/>
      <c r="D14" s="461"/>
      <c r="E14" s="461"/>
      <c r="F14" s="461"/>
      <c r="G14" s="461"/>
      <c r="H14" s="461"/>
      <c r="I14" s="461"/>
    </row>
    <row r="15" spans="1:9" ht="19.5" customHeight="1" x14ac:dyDescent="0.3">
      <c r="A15" s="98"/>
    </row>
    <row r="16" spans="1:9" ht="19.5" customHeight="1" x14ac:dyDescent="0.3">
      <c r="A16" s="493" t="s">
        <v>31</v>
      </c>
      <c r="B16" s="494"/>
      <c r="C16" s="494"/>
      <c r="D16" s="494"/>
      <c r="E16" s="494"/>
      <c r="F16" s="494"/>
      <c r="G16" s="494"/>
      <c r="H16" s="495"/>
    </row>
    <row r="17" spans="1:14" ht="20.25" customHeight="1" x14ac:dyDescent="0.25">
      <c r="A17" s="496" t="s">
        <v>47</v>
      </c>
      <c r="B17" s="496"/>
      <c r="C17" s="496"/>
      <c r="D17" s="496"/>
      <c r="E17" s="496"/>
      <c r="F17" s="496"/>
      <c r="G17" s="496"/>
      <c r="H17" s="496"/>
    </row>
    <row r="18" spans="1:14" ht="26.25" customHeight="1" x14ac:dyDescent="0.4">
      <c r="A18" s="100" t="s">
        <v>33</v>
      </c>
      <c r="B18" s="492" t="s">
        <v>5</v>
      </c>
      <c r="C18" s="492"/>
      <c r="D18" s="242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49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97" t="s">
        <v>9</v>
      </c>
      <c r="C20" s="49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97" t="s">
        <v>11</v>
      </c>
      <c r="C21" s="497"/>
      <c r="D21" s="497"/>
      <c r="E21" s="497"/>
      <c r="F21" s="497"/>
      <c r="G21" s="497"/>
      <c r="H21" s="497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92" t="s">
        <v>131</v>
      </c>
      <c r="C26" s="492"/>
    </row>
    <row r="27" spans="1:14" ht="26.25" customHeight="1" x14ac:dyDescent="0.4">
      <c r="A27" s="109" t="s">
        <v>48</v>
      </c>
      <c r="B27" s="498" t="s">
        <v>132</v>
      </c>
      <c r="C27" s="498"/>
    </row>
    <row r="28" spans="1:14" ht="27" customHeight="1" x14ac:dyDescent="0.4">
      <c r="A28" s="109" t="s">
        <v>6</v>
      </c>
      <c r="B28" s="110">
        <v>99.02</v>
      </c>
    </row>
    <row r="29" spans="1:14" s="14" customFormat="1" ht="27" customHeight="1" x14ac:dyDescent="0.4">
      <c r="A29" s="109" t="s">
        <v>49</v>
      </c>
      <c r="B29" s="111"/>
      <c r="C29" s="468" t="s">
        <v>50</v>
      </c>
      <c r="D29" s="469"/>
      <c r="E29" s="469"/>
      <c r="F29" s="469"/>
      <c r="G29" s="47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71" t="s">
        <v>53</v>
      </c>
      <c r="D31" s="472"/>
      <c r="E31" s="472"/>
      <c r="F31" s="472"/>
      <c r="G31" s="472"/>
      <c r="H31" s="47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71" t="s">
        <v>55</v>
      </c>
      <c r="D32" s="472"/>
      <c r="E32" s="472"/>
      <c r="F32" s="472"/>
      <c r="G32" s="472"/>
      <c r="H32" s="47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474" t="s">
        <v>59</v>
      </c>
      <c r="E36" s="499"/>
      <c r="F36" s="474" t="s">
        <v>60</v>
      </c>
      <c r="G36" s="47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313">
        <v>73225411</v>
      </c>
      <c r="E38" s="132">
        <f>IF(ISBLANK(D38),"-",$D$48/$D$45*D38)</f>
        <v>69355331.486551791</v>
      </c>
      <c r="F38" s="313">
        <v>66067913</v>
      </c>
      <c r="G38" s="133">
        <f>IF(ISBLANK(F38),"-",$D$48/$F$45*F38)</f>
        <v>69276351.987308204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318">
        <v>73178844</v>
      </c>
      <c r="E39" s="137">
        <f>IF(ISBLANK(D39),"-",$D$48/$D$45*D39)</f>
        <v>69311225.626615629</v>
      </c>
      <c r="F39" s="318">
        <v>66476728</v>
      </c>
      <c r="G39" s="138">
        <f>IF(ISBLANK(F39),"-",$D$48/$F$45*F39)</f>
        <v>69705020.164516881</v>
      </c>
      <c r="I39" s="476">
        <f>ABS((F43/D43*D42)-F42)/D42</f>
        <v>9.7981783509658912E-4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318">
        <v>73119830</v>
      </c>
      <c r="E40" s="137">
        <f>IF(ISBLANK(D40),"-",$D$48/$D$45*D40)</f>
        <v>69255330.610439509</v>
      </c>
      <c r="F40" s="318">
        <v>65962724</v>
      </c>
      <c r="G40" s="138">
        <f>IF(ISBLANK(F40),"-",$D$48/$F$45*F40)</f>
        <v>69166054.721081659</v>
      </c>
      <c r="I40" s="476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73174695</v>
      </c>
      <c r="E42" s="147">
        <f>AVERAGE(E38:E41)</f>
        <v>69307295.907868966</v>
      </c>
      <c r="F42" s="146">
        <f>AVERAGE(F38:F41)</f>
        <v>66169121.666666664</v>
      </c>
      <c r="G42" s="148">
        <f>AVERAGE(G38:G41)</f>
        <v>69382475.624302253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151">
        <v>17.059999999999999</v>
      </c>
      <c r="E43" s="139"/>
      <c r="F43" s="151">
        <v>15.41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17.059999999999999</v>
      </c>
      <c r="E44" s="154"/>
      <c r="F44" s="153">
        <f>F43*$B$34</f>
        <v>15.41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16.892811999999999</v>
      </c>
      <c r="E45" s="157"/>
      <c r="F45" s="156">
        <f>F44*$B$30/100</f>
        <v>15.258981999999998</v>
      </c>
      <c r="H45" s="149"/>
    </row>
    <row r="46" spans="1:14" ht="19.5" customHeight="1" x14ac:dyDescent="0.3">
      <c r="A46" s="462" t="s">
        <v>78</v>
      </c>
      <c r="B46" s="463"/>
      <c r="C46" s="152" t="s">
        <v>79</v>
      </c>
      <c r="D46" s="158">
        <f>D45/$B$45</f>
        <v>0.16892811999999999</v>
      </c>
      <c r="E46" s="159"/>
      <c r="F46" s="160">
        <f>F45/$B$45</f>
        <v>0.15258981999999999</v>
      </c>
      <c r="H46" s="149"/>
    </row>
    <row r="47" spans="1:14" ht="27" customHeight="1" x14ac:dyDescent="0.4">
      <c r="A47" s="464"/>
      <c r="B47" s="465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16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16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69344885.76608561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2.7027625117783888E-3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tablet contains: Sulfamethoxazole BP 800 mg and Trimethoprim BP 160 mg</v>
      </c>
    </row>
    <row r="56" spans="1:12" ht="26.25" customHeight="1" x14ac:dyDescent="0.4">
      <c r="A56" s="176" t="s">
        <v>87</v>
      </c>
      <c r="B56" s="177">
        <v>800</v>
      </c>
      <c r="C56" s="99" t="str">
        <f>B20</f>
        <v>Sulfamethoxazole BP 800 MG &amp; Trimethoprim BP 160 MG</v>
      </c>
      <c r="H56" s="178"/>
    </row>
    <row r="57" spans="1:12" ht="18.75" x14ac:dyDescent="0.3">
      <c r="A57" s="175" t="s">
        <v>88</v>
      </c>
      <c r="B57" s="243">
        <f>Uniformity!C46</f>
        <v>1087.7494999999999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479" t="s">
        <v>94</v>
      </c>
      <c r="D60" s="482">
        <v>1285.58</v>
      </c>
      <c r="E60" s="181">
        <v>1</v>
      </c>
      <c r="F60" s="182">
        <v>77637145</v>
      </c>
      <c r="G60" s="244">
        <f>IF(ISBLANK(F60),"-",(F60/$D$50*$D$47*$B$68)*($B$57/$D$60))</f>
        <v>757.83540540867</v>
      </c>
      <c r="H60" s="260">
        <f t="shared" ref="H60:H71" si="0">IF(ISBLANK(F60),"-",(G60/$B$56)*100)</f>
        <v>94.72942567608375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480"/>
      <c r="D61" s="483"/>
      <c r="E61" s="183">
        <v>2</v>
      </c>
      <c r="F61" s="136">
        <v>77581557</v>
      </c>
      <c r="G61" s="245">
        <f>IF(ISBLANK(F61),"-",(F61/$D$50*$D$47*$B$68)*($B$57/$D$60))</f>
        <v>757.2927971698449</v>
      </c>
      <c r="H61" s="261">
        <f t="shared" si="0"/>
        <v>94.661599646230613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80"/>
      <c r="D62" s="483"/>
      <c r="E62" s="183">
        <v>3</v>
      </c>
      <c r="F62" s="184">
        <v>77256357</v>
      </c>
      <c r="G62" s="245">
        <f>IF(ISBLANK(F62),"-",(F62/$D$50*$D$47*$B$68)*($B$57/$D$60))</f>
        <v>754.11843940799122</v>
      </c>
      <c r="H62" s="261">
        <f t="shared" si="0"/>
        <v>94.264804925998902</v>
      </c>
      <c r="L62" s="112"/>
    </row>
    <row r="63" spans="1:12" ht="27" customHeight="1" x14ac:dyDescent="0.4">
      <c r="A63" s="124" t="s">
        <v>97</v>
      </c>
      <c r="B63" s="125">
        <v>1</v>
      </c>
      <c r="C63" s="489"/>
      <c r="D63" s="484"/>
      <c r="E63" s="185">
        <v>4</v>
      </c>
      <c r="F63" s="186"/>
      <c r="G63" s="245" t="str">
        <f>IF(ISBLANK(F63),"-",(F63/$D$50*$D$47*$B$68)*($B$57/$D$60))</f>
        <v>-</v>
      </c>
      <c r="H63" s="261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79" t="s">
        <v>99</v>
      </c>
      <c r="D64" s="482">
        <v>1092.24</v>
      </c>
      <c r="E64" s="181">
        <v>1</v>
      </c>
      <c r="F64" s="182">
        <v>67459304</v>
      </c>
      <c r="G64" s="244">
        <f>IF(ISBLANK(F64),"-",(F64/$D$50*$D$47*$B$68)*($B$57/$D$64))</f>
        <v>775.04732406855817</v>
      </c>
      <c r="H64" s="260">
        <f t="shared" si="0"/>
        <v>96.880915508569771</v>
      </c>
    </row>
    <row r="65" spans="1:8" ht="26.25" customHeight="1" x14ac:dyDescent="0.4">
      <c r="A65" s="124" t="s">
        <v>100</v>
      </c>
      <c r="B65" s="125">
        <v>1</v>
      </c>
      <c r="C65" s="480"/>
      <c r="D65" s="483"/>
      <c r="E65" s="183">
        <v>2</v>
      </c>
      <c r="F65" s="136">
        <v>67569057</v>
      </c>
      <c r="G65" s="245">
        <f>IF(ISBLANK(F65),"-",(F65/$D$50*$D$47*$B$68)*($B$57/$D$64))</f>
        <v>776.30828829312975</v>
      </c>
      <c r="H65" s="261">
        <f t="shared" si="0"/>
        <v>97.038536036641219</v>
      </c>
    </row>
    <row r="66" spans="1:8" ht="26.25" customHeight="1" x14ac:dyDescent="0.4">
      <c r="A66" s="124" t="s">
        <v>101</v>
      </c>
      <c r="B66" s="125">
        <v>1</v>
      </c>
      <c r="C66" s="480"/>
      <c r="D66" s="483"/>
      <c r="E66" s="183">
        <v>3</v>
      </c>
      <c r="F66" s="136">
        <v>67461456</v>
      </c>
      <c r="G66" s="245">
        <f>IF(ISBLANK(F66),"-",(F66/$D$50*$D$47*$B$68)*($B$57/$D$64))</f>
        <v>775.07204863199854</v>
      </c>
      <c r="H66" s="261">
        <f t="shared" si="0"/>
        <v>96.884006078999818</v>
      </c>
    </row>
    <row r="67" spans="1:8" ht="27" customHeight="1" x14ac:dyDescent="0.4">
      <c r="A67" s="124" t="s">
        <v>102</v>
      </c>
      <c r="B67" s="125">
        <v>1</v>
      </c>
      <c r="C67" s="489"/>
      <c r="D67" s="484"/>
      <c r="E67" s="185">
        <v>4</v>
      </c>
      <c r="F67" s="186"/>
      <c r="G67" s="259" t="str">
        <f>IF(ISBLANK(F67),"-",(F67/$D$50*$D$47*$B$68)*($B$57/$D$64))</f>
        <v>-</v>
      </c>
      <c r="H67" s="262" t="str">
        <f t="shared" si="0"/>
        <v>-</v>
      </c>
    </row>
    <row r="68" spans="1:8" ht="26.25" customHeight="1" x14ac:dyDescent="0.4">
      <c r="A68" s="124" t="s">
        <v>103</v>
      </c>
      <c r="B68" s="187">
        <f>(B67/B66)*(B65/B64)*(B63/B62)*(B61/B60)*B59</f>
        <v>5000</v>
      </c>
      <c r="C68" s="479" t="s">
        <v>104</v>
      </c>
      <c r="D68" s="482">
        <v>1066.44</v>
      </c>
      <c r="E68" s="181">
        <v>1</v>
      </c>
      <c r="F68" s="182">
        <v>67322998</v>
      </c>
      <c r="G68" s="244">
        <f>IF(ISBLANK(F68),"-",(F68/$D$50*$D$47*$B$68)*($B$57/$D$68))</f>
        <v>792.19384463021731</v>
      </c>
      <c r="H68" s="261">
        <f t="shared" si="0"/>
        <v>99.024230578777164</v>
      </c>
    </row>
    <row r="69" spans="1:8" ht="27" customHeight="1" x14ac:dyDescent="0.4">
      <c r="A69" s="171" t="s">
        <v>105</v>
      </c>
      <c r="B69" s="188">
        <f>(D47*B68)/B56*B57</f>
        <v>1087.7494999999999</v>
      </c>
      <c r="C69" s="480"/>
      <c r="D69" s="483"/>
      <c r="E69" s="183">
        <v>2</v>
      </c>
      <c r="F69" s="136">
        <v>67325799</v>
      </c>
      <c r="G69" s="245">
        <f>IF(ISBLANK(F69),"-",(F69/$D$50*$D$47*$B$68)*($B$57/$D$68))</f>
        <v>792.22680416892956</v>
      </c>
      <c r="H69" s="261">
        <f t="shared" si="0"/>
        <v>99.028350521116195</v>
      </c>
    </row>
    <row r="70" spans="1:8" ht="26.25" customHeight="1" x14ac:dyDescent="0.4">
      <c r="A70" s="485" t="s">
        <v>78</v>
      </c>
      <c r="B70" s="486"/>
      <c r="C70" s="480"/>
      <c r="D70" s="483"/>
      <c r="E70" s="183">
        <v>3</v>
      </c>
      <c r="F70" s="136">
        <v>67401076</v>
      </c>
      <c r="G70" s="245">
        <f>IF(ISBLANK(F70),"-",(F70/$D$50*$D$47*$B$68)*($B$57/$D$68))</f>
        <v>793.11259324270543</v>
      </c>
      <c r="H70" s="261">
        <f t="shared" si="0"/>
        <v>99.139074155338179</v>
      </c>
    </row>
    <row r="71" spans="1:8" ht="27" customHeight="1" thickBot="1" x14ac:dyDescent="0.45">
      <c r="A71" s="487"/>
      <c r="B71" s="488"/>
      <c r="C71" s="481"/>
      <c r="D71" s="484"/>
      <c r="E71" s="185">
        <v>4</v>
      </c>
      <c r="F71" s="186"/>
      <c r="G71" s="414" t="str">
        <f>IF(ISBLANK(F71),"-",(F71/$D$50*$D$47*$B$68)*($B$57/$D$68))</f>
        <v>-</v>
      </c>
      <c r="H71" s="430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514" t="s">
        <v>71</v>
      </c>
      <c r="G72" s="519">
        <f>AVERAGE(G60:G71)</f>
        <v>774.80083833578283</v>
      </c>
      <c r="H72" s="516">
        <f>AVERAGE(H60:H71)</f>
        <v>96.850104791972853</v>
      </c>
    </row>
    <row r="73" spans="1:8" ht="26.25" customHeight="1" x14ac:dyDescent="0.4">
      <c r="C73" s="189"/>
      <c r="D73" s="189"/>
      <c r="E73" s="189"/>
      <c r="F73" s="343" t="s">
        <v>84</v>
      </c>
      <c r="G73" s="505">
        <f>STDEV(G60:G71)/G72*100</f>
        <v>2.0232971626583978</v>
      </c>
      <c r="H73" s="517">
        <f>STDEV(H60:H71)/H72*100</f>
        <v>2.0232971626583978</v>
      </c>
    </row>
    <row r="74" spans="1:8" ht="27" customHeight="1" thickBot="1" x14ac:dyDescent="0.45">
      <c r="A74" s="189"/>
      <c r="B74" s="189"/>
      <c r="C74" s="190"/>
      <c r="D74" s="190"/>
      <c r="E74" s="192"/>
      <c r="F74" s="515" t="s">
        <v>20</v>
      </c>
      <c r="G74" s="504">
        <f>COUNT(G60:G71)</f>
        <v>9</v>
      </c>
      <c r="H74" s="518">
        <f>COUNT(H60:H71)</f>
        <v>9</v>
      </c>
    </row>
    <row r="76" spans="1:8" ht="26.25" customHeight="1" x14ac:dyDescent="0.4">
      <c r="A76" s="108" t="s">
        <v>106</v>
      </c>
      <c r="B76" s="194" t="s">
        <v>107</v>
      </c>
      <c r="C76" s="466" t="str">
        <f>B26</f>
        <v>sulfamethoxazole</v>
      </c>
      <c r="D76" s="466"/>
      <c r="E76" s="195" t="s">
        <v>108</v>
      </c>
      <c r="F76" s="195"/>
      <c r="G76" s="278">
        <f>H72</f>
        <v>96.850104791972853</v>
      </c>
      <c r="H76" s="19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0" t="str">
        <f>B26</f>
        <v>sulfamethoxazole</v>
      </c>
      <c r="C79" s="500"/>
    </row>
    <row r="80" spans="1:8" ht="26.25" customHeight="1" x14ac:dyDescent="0.4">
      <c r="A80" s="109" t="s">
        <v>48</v>
      </c>
      <c r="B80" s="500" t="str">
        <f>B27</f>
        <v>s12-6</v>
      </c>
      <c r="C80" s="500"/>
    </row>
    <row r="81" spans="1:12" ht="27" customHeight="1" x14ac:dyDescent="0.4">
      <c r="A81" s="109" t="s">
        <v>6</v>
      </c>
      <c r="B81" s="198">
        <f>B28</f>
        <v>99.02</v>
      </c>
    </row>
    <row r="82" spans="1:12" s="14" customFormat="1" ht="27" customHeight="1" x14ac:dyDescent="0.4">
      <c r="A82" s="109" t="s">
        <v>49</v>
      </c>
      <c r="B82" s="111">
        <v>0</v>
      </c>
      <c r="C82" s="468" t="s">
        <v>50</v>
      </c>
      <c r="D82" s="469"/>
      <c r="E82" s="469"/>
      <c r="F82" s="469"/>
      <c r="G82" s="47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71" t="s">
        <v>111</v>
      </c>
      <c r="D84" s="472"/>
      <c r="E84" s="472"/>
      <c r="F84" s="472"/>
      <c r="G84" s="472"/>
      <c r="H84" s="47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71" t="s">
        <v>112</v>
      </c>
      <c r="D85" s="472"/>
      <c r="E85" s="472"/>
      <c r="F85" s="472"/>
      <c r="G85" s="472"/>
      <c r="H85" s="47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199" t="s">
        <v>59</v>
      </c>
      <c r="E89" s="200"/>
      <c r="F89" s="474" t="s">
        <v>60</v>
      </c>
      <c r="G89" s="475"/>
    </row>
    <row r="90" spans="1:12" ht="27" customHeight="1" thickBot="1" x14ac:dyDescent="0.45">
      <c r="A90" s="124" t="s">
        <v>61</v>
      </c>
      <c r="B90" s="125">
        <v>1</v>
      </c>
      <c r="C90" s="201" t="s">
        <v>62</v>
      </c>
      <c r="D90" s="509" t="s">
        <v>63</v>
      </c>
      <c r="E90" s="128" t="s">
        <v>64</v>
      </c>
      <c r="F90" s="509" t="s">
        <v>63</v>
      </c>
      <c r="G90" s="20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3">
        <v>1</v>
      </c>
      <c r="D91" s="520">
        <f>D38</f>
        <v>73225411</v>
      </c>
      <c r="E91" s="506">
        <f>IF(ISBLANK(D91),"-",$D$101/$D$98*D91)</f>
        <v>77061479.42950201</v>
      </c>
      <c r="F91" s="520">
        <f>F38</f>
        <v>66067913</v>
      </c>
      <c r="G91" s="510">
        <f>IF(ISBLANK(F91),"-",$D$101/$F$98*F91)</f>
        <v>76973724.430342466</v>
      </c>
      <c r="I91" s="134"/>
    </row>
    <row r="92" spans="1:12" ht="26.25" customHeight="1" x14ac:dyDescent="0.4">
      <c r="A92" s="124" t="s">
        <v>67</v>
      </c>
      <c r="B92" s="125">
        <v>1</v>
      </c>
      <c r="C92" s="190">
        <v>2</v>
      </c>
      <c r="D92" s="521">
        <f t="shared" ref="D92:D94" si="1">D39</f>
        <v>73178844</v>
      </c>
      <c r="E92" s="507">
        <f>IF(ISBLANK(D92),"-",$D$101/$D$98*D92)</f>
        <v>77012472.918461829</v>
      </c>
      <c r="F92" s="521">
        <f t="shared" ref="F92:F94" si="2">F39</f>
        <v>66476728</v>
      </c>
      <c r="G92" s="511">
        <f>IF(ISBLANK(F92),"-",$D$101/$F$98*F92)</f>
        <v>77450022.405018762</v>
      </c>
      <c r="I92" s="476">
        <f>ABS((F96/D96*D95)-F95)/D95</f>
        <v>9.7981783509658912E-4</v>
      </c>
    </row>
    <row r="93" spans="1:12" ht="26.25" customHeight="1" x14ac:dyDescent="0.4">
      <c r="A93" s="124" t="s">
        <v>68</v>
      </c>
      <c r="B93" s="125">
        <v>1</v>
      </c>
      <c r="C93" s="190">
        <v>3</v>
      </c>
      <c r="D93" s="521">
        <f t="shared" si="1"/>
        <v>73119830</v>
      </c>
      <c r="E93" s="507">
        <f>IF(ISBLANK(D93),"-",$D$101/$D$98*D93)</f>
        <v>76950367.344932809</v>
      </c>
      <c r="F93" s="521">
        <f t="shared" si="2"/>
        <v>65962724</v>
      </c>
      <c r="G93" s="511">
        <f>IF(ISBLANK(F93),"-",$D$101/$F$98*F93)</f>
        <v>76851171.91231297</v>
      </c>
      <c r="I93" s="476"/>
    </row>
    <row r="94" spans="1:12" ht="27" customHeight="1" thickBot="1" x14ac:dyDescent="0.45">
      <c r="A94" s="124" t="s">
        <v>69</v>
      </c>
      <c r="B94" s="125">
        <v>1</v>
      </c>
      <c r="C94" s="204">
        <v>4</v>
      </c>
      <c r="D94" s="522"/>
      <c r="E94" s="508" t="str">
        <f>IF(ISBLANK(D94),"-",$D$101/$D$98*D94)</f>
        <v>-</v>
      </c>
      <c r="F94" s="522"/>
      <c r="G94" s="512" t="str">
        <f>IF(ISBLANK(F94),"-",$D$101/$F$98*F94)</f>
        <v>-</v>
      </c>
      <c r="I94" s="144"/>
    </row>
    <row r="95" spans="1:12" ht="27" customHeight="1" thickBot="1" x14ac:dyDescent="0.45">
      <c r="A95" s="124" t="s">
        <v>70</v>
      </c>
      <c r="B95" s="125">
        <v>1</v>
      </c>
      <c r="C95" s="205" t="s">
        <v>71</v>
      </c>
      <c r="D95" s="206">
        <f>AVERAGE(D91:D94)</f>
        <v>73174695</v>
      </c>
      <c r="E95" s="147">
        <f>AVERAGE(E91:E94)</f>
        <v>77008106.564298883</v>
      </c>
      <c r="F95" s="207">
        <f>AVERAGE(F91:F94)</f>
        <v>66169121.666666664</v>
      </c>
      <c r="G95" s="208">
        <f>AVERAGE(G91:G94)</f>
        <v>77091639.582558081</v>
      </c>
    </row>
    <row r="96" spans="1:12" ht="26.25" customHeight="1" x14ac:dyDescent="0.4">
      <c r="A96" s="124" t="s">
        <v>72</v>
      </c>
      <c r="B96" s="110">
        <v>1</v>
      </c>
      <c r="C96" s="209" t="s">
        <v>113</v>
      </c>
      <c r="D96" s="210">
        <v>17.059999999999999</v>
      </c>
      <c r="E96" s="139"/>
      <c r="F96" s="151">
        <v>15.41</v>
      </c>
    </row>
    <row r="97" spans="1:10" ht="26.25" customHeight="1" x14ac:dyDescent="0.4">
      <c r="A97" s="124" t="s">
        <v>74</v>
      </c>
      <c r="B97" s="110">
        <v>1</v>
      </c>
      <c r="C97" s="211" t="s">
        <v>114</v>
      </c>
      <c r="D97" s="212">
        <f>D96*$B$87</f>
        <v>17.059999999999999</v>
      </c>
      <c r="E97" s="154"/>
      <c r="F97" s="153">
        <f>F96*$B$87</f>
        <v>15.41</v>
      </c>
    </row>
    <row r="98" spans="1:10" ht="19.5" customHeight="1" x14ac:dyDescent="0.3">
      <c r="A98" s="124" t="s">
        <v>76</v>
      </c>
      <c r="B98" s="213">
        <f>(B97/B96)*(B95/B94)*(B93/B92)*(B91/B90)*B89</f>
        <v>100</v>
      </c>
      <c r="C98" s="211" t="s">
        <v>115</v>
      </c>
      <c r="D98" s="214">
        <f>D97*$B$83/100</f>
        <v>16.892811999999999</v>
      </c>
      <c r="E98" s="157"/>
      <c r="F98" s="156">
        <f>F97*$B$83/100</f>
        <v>15.258981999999998</v>
      </c>
    </row>
    <row r="99" spans="1:10" ht="19.5" customHeight="1" x14ac:dyDescent="0.3">
      <c r="A99" s="462" t="s">
        <v>78</v>
      </c>
      <c r="B99" s="477"/>
      <c r="C99" s="211" t="s">
        <v>116</v>
      </c>
      <c r="D99" s="215">
        <f>D98/$B$98</f>
        <v>0.16892811999999999</v>
      </c>
      <c r="E99" s="157"/>
      <c r="F99" s="160">
        <f>F98/$B$98</f>
        <v>0.15258981999999999</v>
      </c>
      <c r="G99" s="216"/>
      <c r="H99" s="149"/>
    </row>
    <row r="100" spans="1:10" ht="19.5" customHeight="1" x14ac:dyDescent="0.3">
      <c r="A100" s="464"/>
      <c r="B100" s="478"/>
      <c r="C100" s="211" t="s">
        <v>80</v>
      </c>
      <c r="D100" s="217">
        <f>$B$56/$B$116</f>
        <v>0.17777777777777778</v>
      </c>
      <c r="F100" s="165"/>
      <c r="G100" s="218"/>
      <c r="H100" s="149"/>
    </row>
    <row r="101" spans="1:10" ht="18.75" x14ac:dyDescent="0.3">
      <c r="C101" s="211" t="s">
        <v>81</v>
      </c>
      <c r="D101" s="212">
        <f>D100*$B$98</f>
        <v>17.777777777777779</v>
      </c>
      <c r="F101" s="165"/>
      <c r="G101" s="216"/>
      <c r="H101" s="149"/>
    </row>
    <row r="102" spans="1:10" ht="19.5" customHeight="1" x14ac:dyDescent="0.3">
      <c r="C102" s="219" t="s">
        <v>82</v>
      </c>
      <c r="D102" s="220">
        <f>D101/B34</f>
        <v>17.777777777777779</v>
      </c>
      <c r="F102" s="169"/>
      <c r="G102" s="216"/>
      <c r="H102" s="149"/>
      <c r="J102" s="221"/>
    </row>
    <row r="103" spans="1:10" ht="18.75" x14ac:dyDescent="0.3">
      <c r="C103" s="222" t="s">
        <v>117</v>
      </c>
      <c r="D103" s="223">
        <f>AVERAGE(E91:E94,G91:G94)</f>
        <v>77049873.073428482</v>
      </c>
      <c r="F103" s="169"/>
      <c r="G103" s="224"/>
      <c r="H103" s="149"/>
      <c r="J103" s="225"/>
    </row>
    <row r="104" spans="1:10" ht="18.75" x14ac:dyDescent="0.3">
      <c r="C104" s="191" t="s">
        <v>84</v>
      </c>
      <c r="D104" s="226">
        <f>STDEV(E91:E94,G91:G94)/D103</f>
        <v>2.7027625117783268E-3</v>
      </c>
      <c r="F104" s="169"/>
      <c r="G104" s="216"/>
      <c r="H104" s="149"/>
      <c r="J104" s="225"/>
    </row>
    <row r="105" spans="1:10" ht="19.5" customHeight="1" x14ac:dyDescent="0.3">
      <c r="C105" s="193" t="s">
        <v>20</v>
      </c>
      <c r="D105" s="227">
        <f>COUNT(E91:E94,G91:G94)</f>
        <v>6</v>
      </c>
      <c r="F105" s="169"/>
      <c r="G105" s="216"/>
      <c r="H105" s="149"/>
      <c r="J105" s="22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2" t="s">
        <v>118</v>
      </c>
      <c r="B107" s="123">
        <v>900</v>
      </c>
      <c r="C107" s="263" t="s">
        <v>119</v>
      </c>
      <c r="D107" s="263" t="s">
        <v>63</v>
      </c>
      <c r="E107" s="263" t="s">
        <v>120</v>
      </c>
      <c r="F107" s="228" t="s">
        <v>121</v>
      </c>
    </row>
    <row r="108" spans="1:10" ht="26.25" customHeight="1" x14ac:dyDescent="0.4">
      <c r="A108" s="124" t="s">
        <v>122</v>
      </c>
      <c r="B108" s="125">
        <v>4</v>
      </c>
      <c r="C108" s="268">
        <v>1</v>
      </c>
      <c r="D108" s="269">
        <v>74497107</v>
      </c>
      <c r="E108" s="246">
        <f t="shared" ref="E108:E113" si="3">IF(ISBLANK(D108),"-",D108/$D$103*$D$100*$B$116)</f>
        <v>773.49492247967032</v>
      </c>
      <c r="F108" s="270">
        <f t="shared" ref="F108:F113" si="4">IF(ISBLANK(D108), "-", (E108/$B$56)*100)</f>
        <v>96.68686530995879</v>
      </c>
    </row>
    <row r="109" spans="1:10" ht="26.25" customHeight="1" x14ac:dyDescent="0.4">
      <c r="A109" s="124" t="s">
        <v>95</v>
      </c>
      <c r="B109" s="125">
        <v>20</v>
      </c>
      <c r="C109" s="264">
        <v>2</v>
      </c>
      <c r="D109" s="266">
        <v>74809065</v>
      </c>
      <c r="E109" s="247">
        <f t="shared" si="3"/>
        <v>776.73394663435215</v>
      </c>
      <c r="F109" s="271">
        <f t="shared" si="4"/>
        <v>97.091743329294019</v>
      </c>
    </row>
    <row r="110" spans="1:10" ht="26.25" customHeight="1" x14ac:dyDescent="0.4">
      <c r="A110" s="124" t="s">
        <v>96</v>
      </c>
      <c r="B110" s="125">
        <v>1</v>
      </c>
      <c r="C110" s="264">
        <v>3</v>
      </c>
      <c r="D110" s="266">
        <v>74376284</v>
      </c>
      <c r="E110" s="247">
        <f t="shared" si="3"/>
        <v>772.24043112044535</v>
      </c>
      <c r="F110" s="271">
        <f t="shared" si="4"/>
        <v>96.530053890055669</v>
      </c>
    </row>
    <row r="111" spans="1:10" ht="26.25" customHeight="1" x14ac:dyDescent="0.4">
      <c r="A111" s="124" t="s">
        <v>97</v>
      </c>
      <c r="B111" s="125">
        <v>1</v>
      </c>
      <c r="C111" s="264">
        <v>4</v>
      </c>
      <c r="D111" s="266">
        <v>74574880</v>
      </c>
      <c r="E111" s="247">
        <f t="shared" si="3"/>
        <v>774.30243062365787</v>
      </c>
      <c r="F111" s="271">
        <f t="shared" si="4"/>
        <v>96.787803827957234</v>
      </c>
    </row>
    <row r="112" spans="1:10" ht="26.25" customHeight="1" x14ac:dyDescent="0.4">
      <c r="A112" s="124" t="s">
        <v>98</v>
      </c>
      <c r="B112" s="125">
        <v>1</v>
      </c>
      <c r="C112" s="264">
        <v>5</v>
      </c>
      <c r="D112" s="266">
        <v>74434102</v>
      </c>
      <c r="E112" s="247">
        <f t="shared" si="3"/>
        <v>772.84074878684726</v>
      </c>
      <c r="F112" s="271">
        <f t="shared" si="4"/>
        <v>96.605093598355907</v>
      </c>
    </row>
    <row r="113" spans="1:10" ht="27" customHeight="1" x14ac:dyDescent="0.4">
      <c r="A113" s="124" t="s">
        <v>100</v>
      </c>
      <c r="B113" s="125">
        <v>1</v>
      </c>
      <c r="C113" s="265">
        <v>6</v>
      </c>
      <c r="D113" s="267">
        <v>74618076</v>
      </c>
      <c r="E113" s="248">
        <f t="shared" si="3"/>
        <v>774.75092974015956</v>
      </c>
      <c r="F113" s="272">
        <f t="shared" si="4"/>
        <v>96.843866217519945</v>
      </c>
    </row>
    <row r="114" spans="1:10" ht="27" customHeight="1" x14ac:dyDescent="0.4">
      <c r="A114" s="124" t="s">
        <v>101</v>
      </c>
      <c r="B114" s="125">
        <v>1</v>
      </c>
      <c r="C114" s="229"/>
      <c r="D114" s="190"/>
      <c r="E114" s="98"/>
      <c r="F114" s="273"/>
    </row>
    <row r="115" spans="1:10" ht="26.25" customHeight="1" x14ac:dyDescent="0.4">
      <c r="A115" s="124" t="s">
        <v>102</v>
      </c>
      <c r="B115" s="125">
        <v>1</v>
      </c>
      <c r="C115" s="229"/>
      <c r="D115" s="251" t="s">
        <v>71</v>
      </c>
      <c r="E115" s="253">
        <f>AVERAGE(E108:E113)</f>
        <v>774.06056823085544</v>
      </c>
      <c r="F115" s="274">
        <f>AVERAGE(F108:F113)</f>
        <v>96.75757102885693</v>
      </c>
    </row>
    <row r="116" spans="1:10" ht="27" customHeight="1" x14ac:dyDescent="0.4">
      <c r="A116" s="124" t="s">
        <v>103</v>
      </c>
      <c r="B116" s="155">
        <f>(B115/B114)*(B113/B112)*(B111/B110)*(B109/B108)*B107</f>
        <v>4500</v>
      </c>
      <c r="C116" s="230"/>
      <c r="D116" s="252" t="s">
        <v>84</v>
      </c>
      <c r="E116" s="250">
        <f>STDEV(E108:E113)/E115</f>
        <v>2.0672528015070928E-3</v>
      </c>
      <c r="F116" s="231">
        <f>STDEV(F108:F113)/F115</f>
        <v>2.0672528015070928E-3</v>
      </c>
      <c r="I116" s="98"/>
    </row>
    <row r="117" spans="1:10" ht="27" customHeight="1" x14ac:dyDescent="0.4">
      <c r="A117" s="462" t="s">
        <v>78</v>
      </c>
      <c r="B117" s="463"/>
      <c r="C117" s="232"/>
      <c r="D117" s="193" t="s">
        <v>20</v>
      </c>
      <c r="E117" s="255">
        <f>COUNT(E108:E113)</f>
        <v>6</v>
      </c>
      <c r="F117" s="256">
        <f>COUNT(F108:F113)</f>
        <v>6</v>
      </c>
      <c r="I117" s="98"/>
      <c r="J117" s="225"/>
    </row>
    <row r="118" spans="1:10" ht="26.25" customHeight="1" x14ac:dyDescent="0.3">
      <c r="A118" s="464"/>
      <c r="B118" s="465"/>
      <c r="C118" s="98"/>
      <c r="D118" s="254"/>
      <c r="E118" s="490" t="s">
        <v>123</v>
      </c>
      <c r="F118" s="491"/>
      <c r="G118" s="98"/>
      <c r="H118" s="98"/>
      <c r="I118" s="98"/>
    </row>
    <row r="119" spans="1:10" ht="25.5" customHeight="1" x14ac:dyDescent="0.4">
      <c r="A119" s="241"/>
      <c r="B119" s="120"/>
      <c r="C119" s="98"/>
      <c r="D119" s="252" t="s">
        <v>124</v>
      </c>
      <c r="E119" s="257">
        <f>MIN(E108:E113)</f>
        <v>772.24043112044535</v>
      </c>
      <c r="F119" s="275">
        <f>MIN(F108:F113)</f>
        <v>96.530053890055669</v>
      </c>
      <c r="G119" s="98"/>
      <c r="H119" s="98"/>
      <c r="I119" s="98"/>
    </row>
    <row r="120" spans="1:10" ht="24" customHeight="1" x14ac:dyDescent="0.4">
      <c r="A120" s="241"/>
      <c r="B120" s="120"/>
      <c r="C120" s="98"/>
      <c r="D120" s="166" t="s">
        <v>125</v>
      </c>
      <c r="E120" s="258">
        <f>MAX(E108:E113)</f>
        <v>776.73394663435215</v>
      </c>
      <c r="F120" s="276">
        <f>MAX(F108:F113)</f>
        <v>97.091743329294019</v>
      </c>
      <c r="G120" s="98"/>
      <c r="H120" s="98"/>
      <c r="I120" s="98"/>
    </row>
    <row r="121" spans="1:10" ht="27" customHeight="1" x14ac:dyDescent="0.3">
      <c r="A121" s="241"/>
      <c r="B121" s="120"/>
      <c r="C121" s="98"/>
      <c r="D121" s="98"/>
      <c r="E121" s="98"/>
      <c r="F121" s="190"/>
      <c r="G121" s="98"/>
      <c r="H121" s="98"/>
      <c r="I121" s="98"/>
    </row>
    <row r="122" spans="1:10" ht="25.5" customHeight="1" x14ac:dyDescent="0.3">
      <c r="A122" s="241"/>
      <c r="B122" s="120"/>
      <c r="C122" s="98"/>
      <c r="D122" s="98"/>
      <c r="E122" s="98"/>
      <c r="F122" s="190"/>
      <c r="G122" s="98"/>
      <c r="H122" s="98"/>
      <c r="I122" s="98"/>
    </row>
    <row r="123" spans="1:10" ht="18.75" x14ac:dyDescent="0.3">
      <c r="A123" s="241"/>
      <c r="B123" s="120"/>
      <c r="C123" s="98"/>
      <c r="D123" s="98"/>
      <c r="E123" s="98"/>
      <c r="F123" s="190"/>
      <c r="G123" s="98"/>
      <c r="H123" s="98"/>
      <c r="I123" s="98"/>
    </row>
    <row r="124" spans="1:10" ht="45.75" customHeight="1" x14ac:dyDescent="0.65">
      <c r="A124" s="108" t="s">
        <v>106</v>
      </c>
      <c r="B124" s="194" t="s">
        <v>126</v>
      </c>
      <c r="C124" s="466" t="str">
        <f>B26</f>
        <v>sulfamethoxazole</v>
      </c>
      <c r="D124" s="466"/>
      <c r="E124" s="195" t="s">
        <v>127</v>
      </c>
      <c r="F124" s="195"/>
      <c r="G124" s="277">
        <f>F115</f>
        <v>96.75757102885693</v>
      </c>
      <c r="H124" s="98"/>
      <c r="I124" s="98"/>
    </row>
    <row r="125" spans="1:10" ht="45.75" customHeight="1" x14ac:dyDescent="0.65">
      <c r="A125" s="108"/>
      <c r="B125" s="194" t="s">
        <v>128</v>
      </c>
      <c r="C125" s="109" t="s">
        <v>129</v>
      </c>
      <c r="D125" s="513">
        <f>MIN(F108:F113)</f>
        <v>96.530053890055669</v>
      </c>
      <c r="E125" s="205" t="s">
        <v>130</v>
      </c>
      <c r="F125" s="513">
        <f>MAX(F108:F113)</f>
        <v>97.091743329294019</v>
      </c>
      <c r="G125" s="196"/>
      <c r="H125" s="98"/>
      <c r="I125" s="98"/>
    </row>
    <row r="126" spans="1:10" ht="19.5" customHeight="1" x14ac:dyDescent="0.3">
      <c r="A126" s="233"/>
      <c r="B126" s="233"/>
      <c r="C126" s="234"/>
      <c r="D126" s="234"/>
      <c r="E126" s="234"/>
      <c r="F126" s="234"/>
      <c r="G126" s="234"/>
      <c r="H126" s="234"/>
    </row>
    <row r="127" spans="1:10" ht="18.75" x14ac:dyDescent="0.3">
      <c r="B127" s="467" t="s">
        <v>26</v>
      </c>
      <c r="C127" s="467"/>
      <c r="E127" s="201" t="s">
        <v>27</v>
      </c>
      <c r="F127" s="235"/>
      <c r="G127" s="467" t="s">
        <v>28</v>
      </c>
      <c r="H127" s="467"/>
    </row>
    <row r="128" spans="1:10" ht="69.95" customHeight="1" x14ac:dyDescent="0.3">
      <c r="A128" s="236" t="s">
        <v>29</v>
      </c>
      <c r="B128" s="237"/>
      <c r="C128" s="237"/>
      <c r="E128" s="237"/>
      <c r="F128" s="98"/>
      <c r="G128" s="238"/>
      <c r="H128" s="238"/>
    </row>
    <row r="129" spans="1:9" ht="69.95" customHeight="1" x14ac:dyDescent="0.3">
      <c r="A129" s="236" t="s">
        <v>30</v>
      </c>
      <c r="B129" s="239"/>
      <c r="C129" s="239"/>
      <c r="E129" s="239"/>
      <c r="F129" s="98"/>
      <c r="G129" s="240"/>
      <c r="H129" s="240"/>
    </row>
    <row r="130" spans="1:9" ht="18.75" x14ac:dyDescent="0.3">
      <c r="A130" s="189"/>
      <c r="B130" s="189"/>
      <c r="C130" s="190"/>
      <c r="D130" s="190"/>
      <c r="E130" s="190"/>
      <c r="F130" s="192"/>
      <c r="G130" s="190"/>
      <c r="H130" s="190"/>
      <c r="I130" s="98"/>
    </row>
    <row r="131" spans="1:9" ht="18.75" x14ac:dyDescent="0.3">
      <c r="A131" s="189"/>
      <c r="B131" s="189"/>
      <c r="C131" s="190"/>
      <c r="D131" s="190"/>
      <c r="E131" s="190"/>
      <c r="F131" s="192"/>
      <c r="G131" s="190"/>
      <c r="H131" s="190"/>
      <c r="I131" s="98"/>
    </row>
    <row r="132" spans="1:9" ht="18.75" x14ac:dyDescent="0.3">
      <c r="A132" s="189"/>
      <c r="B132" s="189"/>
      <c r="C132" s="190"/>
      <c r="D132" s="190"/>
      <c r="E132" s="190"/>
      <c r="F132" s="192"/>
      <c r="G132" s="190"/>
      <c r="H132" s="190"/>
      <c r="I132" s="98"/>
    </row>
    <row r="133" spans="1:9" ht="18.75" x14ac:dyDescent="0.3">
      <c r="A133" s="189"/>
      <c r="B133" s="189"/>
      <c r="C133" s="190"/>
      <c r="D133" s="190"/>
      <c r="E133" s="190"/>
      <c r="F133" s="192"/>
      <c r="G133" s="190"/>
      <c r="H133" s="190"/>
      <c r="I133" s="98"/>
    </row>
    <row r="134" spans="1:9" ht="18.75" x14ac:dyDescent="0.3">
      <c r="A134" s="189"/>
      <c r="B134" s="189"/>
      <c r="C134" s="190"/>
      <c r="D134" s="190"/>
      <c r="E134" s="190"/>
      <c r="F134" s="192"/>
      <c r="G134" s="190"/>
      <c r="H134" s="190"/>
      <c r="I134" s="98"/>
    </row>
    <row r="135" spans="1:9" ht="18.75" x14ac:dyDescent="0.3">
      <c r="A135" s="189"/>
      <c r="B135" s="189"/>
      <c r="C135" s="190"/>
      <c r="D135" s="190"/>
      <c r="E135" s="190"/>
      <c r="F135" s="192"/>
      <c r="G135" s="190"/>
      <c r="H135" s="190"/>
      <c r="I135" s="98"/>
    </row>
    <row r="136" spans="1:9" ht="18.75" x14ac:dyDescent="0.3">
      <c r="A136" s="189"/>
      <c r="B136" s="189"/>
      <c r="C136" s="190"/>
      <c r="D136" s="190"/>
      <c r="E136" s="190"/>
      <c r="F136" s="192"/>
      <c r="G136" s="190"/>
      <c r="H136" s="190"/>
      <c r="I136" s="98"/>
    </row>
    <row r="137" spans="1:9" ht="18.75" x14ac:dyDescent="0.3">
      <c r="A137" s="189"/>
      <c r="B137" s="189"/>
      <c r="C137" s="190"/>
      <c r="D137" s="190"/>
      <c r="E137" s="190"/>
      <c r="F137" s="192"/>
      <c r="G137" s="190"/>
      <c r="H137" s="190"/>
      <c r="I137" s="98"/>
    </row>
    <row r="138" spans="1:9" ht="18.75" x14ac:dyDescent="0.3">
      <c r="A138" s="189"/>
      <c r="B138" s="189"/>
      <c r="C138" s="190"/>
      <c r="D138" s="190"/>
      <c r="E138" s="190"/>
      <c r="F138" s="192"/>
      <c r="G138" s="190"/>
      <c r="H138" s="190"/>
      <c r="I138" s="98"/>
    </row>
    <row r="250" spans="1:1" x14ac:dyDescent="0.25">
      <c r="A250" s="2">
        <v>0</v>
      </c>
    </row>
  </sheetData>
  <sheetProtection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14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6" zoomScale="55" zoomScaleNormal="40" zoomScalePageLayoutView="55" workbookViewId="0">
      <selection activeCell="E103" sqref="E10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0" t="s">
        <v>45</v>
      </c>
      <c r="B1" s="460"/>
      <c r="C1" s="460"/>
      <c r="D1" s="460"/>
      <c r="E1" s="460"/>
      <c r="F1" s="460"/>
      <c r="G1" s="460"/>
      <c r="H1" s="460"/>
      <c r="I1" s="460"/>
    </row>
    <row r="2" spans="1:9" ht="18.75" customHeight="1" x14ac:dyDescent="0.25">
      <c r="A2" s="460"/>
      <c r="B2" s="460"/>
      <c r="C2" s="460"/>
      <c r="D2" s="460"/>
      <c r="E2" s="460"/>
      <c r="F2" s="460"/>
      <c r="G2" s="460"/>
      <c r="H2" s="460"/>
      <c r="I2" s="460"/>
    </row>
    <row r="3" spans="1:9" ht="18.75" customHeight="1" x14ac:dyDescent="0.25">
      <c r="A3" s="460"/>
      <c r="B3" s="460"/>
      <c r="C3" s="460"/>
      <c r="D3" s="460"/>
      <c r="E3" s="460"/>
      <c r="F3" s="460"/>
      <c r="G3" s="460"/>
      <c r="H3" s="460"/>
      <c r="I3" s="460"/>
    </row>
    <row r="4" spans="1:9" ht="18.75" customHeight="1" x14ac:dyDescent="0.25">
      <c r="A4" s="460"/>
      <c r="B4" s="460"/>
      <c r="C4" s="460"/>
      <c r="D4" s="460"/>
      <c r="E4" s="460"/>
      <c r="F4" s="460"/>
      <c r="G4" s="460"/>
      <c r="H4" s="460"/>
      <c r="I4" s="460"/>
    </row>
    <row r="5" spans="1:9" ht="18.75" customHeight="1" x14ac:dyDescent="0.25">
      <c r="A5" s="460"/>
      <c r="B5" s="460"/>
      <c r="C5" s="460"/>
      <c r="D5" s="460"/>
      <c r="E5" s="460"/>
      <c r="F5" s="460"/>
      <c r="G5" s="460"/>
      <c r="H5" s="460"/>
      <c r="I5" s="460"/>
    </row>
    <row r="6" spans="1:9" ht="18.75" customHeight="1" x14ac:dyDescent="0.25">
      <c r="A6" s="460"/>
      <c r="B6" s="460"/>
      <c r="C6" s="460"/>
      <c r="D6" s="460"/>
      <c r="E6" s="460"/>
      <c r="F6" s="460"/>
      <c r="G6" s="460"/>
      <c r="H6" s="460"/>
      <c r="I6" s="460"/>
    </row>
    <row r="7" spans="1:9" ht="18.75" customHeight="1" x14ac:dyDescent="0.25">
      <c r="A7" s="460"/>
      <c r="B7" s="460"/>
      <c r="C7" s="460"/>
      <c r="D7" s="460"/>
      <c r="E7" s="460"/>
      <c r="F7" s="460"/>
      <c r="G7" s="460"/>
      <c r="H7" s="460"/>
      <c r="I7" s="460"/>
    </row>
    <row r="8" spans="1:9" x14ac:dyDescent="0.25">
      <c r="A8" s="461" t="s">
        <v>46</v>
      </c>
      <c r="B8" s="461"/>
      <c r="C8" s="461"/>
      <c r="D8" s="461"/>
      <c r="E8" s="461"/>
      <c r="F8" s="461"/>
      <c r="G8" s="461"/>
      <c r="H8" s="461"/>
      <c r="I8" s="461"/>
    </row>
    <row r="9" spans="1:9" x14ac:dyDescent="0.25">
      <c r="A9" s="461"/>
      <c r="B9" s="461"/>
      <c r="C9" s="461"/>
      <c r="D9" s="461"/>
      <c r="E9" s="461"/>
      <c r="F9" s="461"/>
      <c r="G9" s="461"/>
      <c r="H9" s="461"/>
      <c r="I9" s="461"/>
    </row>
    <row r="10" spans="1:9" x14ac:dyDescent="0.25">
      <c r="A10" s="461"/>
      <c r="B10" s="461"/>
      <c r="C10" s="461"/>
      <c r="D10" s="461"/>
      <c r="E10" s="461"/>
      <c r="F10" s="461"/>
      <c r="G10" s="461"/>
      <c r="H10" s="461"/>
      <c r="I10" s="461"/>
    </row>
    <row r="11" spans="1:9" x14ac:dyDescent="0.25">
      <c r="A11" s="461"/>
      <c r="B11" s="461"/>
      <c r="C11" s="461"/>
      <c r="D11" s="461"/>
      <c r="E11" s="461"/>
      <c r="F11" s="461"/>
      <c r="G11" s="461"/>
      <c r="H11" s="461"/>
      <c r="I11" s="461"/>
    </row>
    <row r="12" spans="1:9" x14ac:dyDescent="0.25">
      <c r="A12" s="461"/>
      <c r="B12" s="461"/>
      <c r="C12" s="461"/>
      <c r="D12" s="461"/>
      <c r="E12" s="461"/>
      <c r="F12" s="461"/>
      <c r="G12" s="461"/>
      <c r="H12" s="461"/>
      <c r="I12" s="461"/>
    </row>
    <row r="13" spans="1:9" x14ac:dyDescent="0.25">
      <c r="A13" s="461"/>
      <c r="B13" s="461"/>
      <c r="C13" s="461"/>
      <c r="D13" s="461"/>
      <c r="E13" s="461"/>
      <c r="F13" s="461"/>
      <c r="G13" s="461"/>
      <c r="H13" s="461"/>
      <c r="I13" s="461"/>
    </row>
    <row r="14" spans="1:9" x14ac:dyDescent="0.25">
      <c r="A14" s="461"/>
      <c r="B14" s="461"/>
      <c r="C14" s="461"/>
      <c r="D14" s="461"/>
      <c r="E14" s="461"/>
      <c r="F14" s="461"/>
      <c r="G14" s="461"/>
      <c r="H14" s="461"/>
      <c r="I14" s="461"/>
    </row>
    <row r="15" spans="1:9" ht="19.5" customHeight="1" x14ac:dyDescent="0.3">
      <c r="A15" s="279"/>
    </row>
    <row r="16" spans="1:9" ht="19.5" customHeight="1" x14ac:dyDescent="0.3">
      <c r="A16" s="493" t="s">
        <v>31</v>
      </c>
      <c r="B16" s="494"/>
      <c r="C16" s="494"/>
      <c r="D16" s="494"/>
      <c r="E16" s="494"/>
      <c r="F16" s="494"/>
      <c r="G16" s="494"/>
      <c r="H16" s="495"/>
    </row>
    <row r="17" spans="1:14" ht="20.25" customHeight="1" x14ac:dyDescent="0.25">
      <c r="A17" s="496" t="s">
        <v>47</v>
      </c>
      <c r="B17" s="496"/>
      <c r="C17" s="496"/>
      <c r="D17" s="496"/>
      <c r="E17" s="496"/>
      <c r="F17" s="496"/>
      <c r="G17" s="496"/>
      <c r="H17" s="496"/>
    </row>
    <row r="18" spans="1:14" ht="26.25" customHeight="1" x14ac:dyDescent="0.4">
      <c r="A18" s="281" t="s">
        <v>33</v>
      </c>
      <c r="B18" s="492" t="s">
        <v>5</v>
      </c>
      <c r="C18" s="492"/>
      <c r="D18" s="411"/>
      <c r="E18" s="282"/>
      <c r="F18" s="283"/>
      <c r="G18" s="283"/>
      <c r="H18" s="283"/>
    </row>
    <row r="19" spans="1:14" ht="26.25" customHeight="1" x14ac:dyDescent="0.4">
      <c r="A19" s="281" t="s">
        <v>34</v>
      </c>
      <c r="B19" s="284" t="s">
        <v>7</v>
      </c>
      <c r="C19" s="418">
        <v>1</v>
      </c>
      <c r="D19" s="283"/>
      <c r="E19" s="283"/>
      <c r="F19" s="283"/>
      <c r="G19" s="283"/>
      <c r="H19" s="283"/>
    </row>
    <row r="20" spans="1:14" ht="26.25" customHeight="1" x14ac:dyDescent="0.4">
      <c r="A20" s="281" t="s">
        <v>35</v>
      </c>
      <c r="B20" s="497" t="s">
        <v>137</v>
      </c>
      <c r="C20" s="497"/>
      <c r="D20" s="283"/>
      <c r="E20" s="283"/>
      <c r="F20" s="283"/>
      <c r="G20" s="283"/>
      <c r="H20" s="283"/>
    </row>
    <row r="21" spans="1:14" ht="26.25" customHeight="1" x14ac:dyDescent="0.4">
      <c r="A21" s="281" t="s">
        <v>36</v>
      </c>
      <c r="B21" s="497" t="s">
        <v>11</v>
      </c>
      <c r="C21" s="497"/>
      <c r="D21" s="497"/>
      <c r="E21" s="497"/>
      <c r="F21" s="497"/>
      <c r="G21" s="497"/>
      <c r="H21" s="497"/>
      <c r="I21" s="285"/>
    </row>
    <row r="22" spans="1:14" ht="26.25" customHeight="1" x14ac:dyDescent="0.4">
      <c r="A22" s="281" t="s">
        <v>37</v>
      </c>
      <c r="B22" s="286" t="s">
        <v>12</v>
      </c>
      <c r="C22" s="283"/>
      <c r="D22" s="283"/>
      <c r="E22" s="283"/>
      <c r="F22" s="283"/>
      <c r="G22" s="283"/>
      <c r="H22" s="283"/>
    </row>
    <row r="23" spans="1:14" ht="26.25" customHeight="1" x14ac:dyDescent="0.4">
      <c r="A23" s="281" t="s">
        <v>38</v>
      </c>
      <c r="B23" s="286"/>
      <c r="C23" s="283"/>
      <c r="D23" s="283"/>
      <c r="E23" s="283"/>
      <c r="F23" s="283"/>
      <c r="G23" s="283"/>
      <c r="H23" s="283"/>
    </row>
    <row r="24" spans="1:14" ht="18.75" x14ac:dyDescent="0.3">
      <c r="A24" s="281"/>
      <c r="B24" s="287"/>
    </row>
    <row r="25" spans="1:14" ht="18.75" x14ac:dyDescent="0.3">
      <c r="A25" s="288" t="s">
        <v>1</v>
      </c>
      <c r="B25" s="287"/>
    </row>
    <row r="26" spans="1:14" ht="26.25" customHeight="1" x14ac:dyDescent="0.4">
      <c r="A26" s="289" t="s">
        <v>4</v>
      </c>
      <c r="B26" s="492" t="s">
        <v>133</v>
      </c>
      <c r="C26" s="492"/>
    </row>
    <row r="27" spans="1:14" ht="26.25" customHeight="1" x14ac:dyDescent="0.4">
      <c r="A27" s="290" t="s">
        <v>48</v>
      </c>
      <c r="B27" s="498" t="s">
        <v>134</v>
      </c>
      <c r="C27" s="498"/>
    </row>
    <row r="28" spans="1:14" ht="27" customHeight="1" x14ac:dyDescent="0.4">
      <c r="A28" s="290" t="s">
        <v>6</v>
      </c>
      <c r="B28" s="291">
        <v>98.95</v>
      </c>
    </row>
    <row r="29" spans="1:14" s="14" customFormat="1" ht="27" customHeight="1" x14ac:dyDescent="0.4">
      <c r="A29" s="290" t="s">
        <v>49</v>
      </c>
      <c r="B29" s="292"/>
      <c r="C29" s="468" t="s">
        <v>50</v>
      </c>
      <c r="D29" s="469"/>
      <c r="E29" s="469"/>
      <c r="F29" s="469"/>
      <c r="G29" s="470"/>
      <c r="I29" s="293"/>
      <c r="J29" s="293"/>
      <c r="K29" s="293"/>
      <c r="L29" s="293"/>
    </row>
    <row r="30" spans="1:14" s="14" customFormat="1" ht="19.5" customHeight="1" x14ac:dyDescent="0.3">
      <c r="A30" s="290" t="s">
        <v>51</v>
      </c>
      <c r="B30" s="294">
        <f>B28-B29</f>
        <v>98.95</v>
      </c>
      <c r="C30" s="295"/>
      <c r="D30" s="295"/>
      <c r="E30" s="295"/>
      <c r="F30" s="295"/>
      <c r="G30" s="296"/>
      <c r="I30" s="293"/>
      <c r="J30" s="293"/>
      <c r="K30" s="293"/>
      <c r="L30" s="293"/>
    </row>
    <row r="31" spans="1:14" s="14" customFormat="1" ht="27" customHeight="1" x14ac:dyDescent="0.4">
      <c r="A31" s="290" t="s">
        <v>52</v>
      </c>
      <c r="B31" s="297">
        <v>1</v>
      </c>
      <c r="C31" s="471" t="s">
        <v>53</v>
      </c>
      <c r="D31" s="472"/>
      <c r="E31" s="472"/>
      <c r="F31" s="472"/>
      <c r="G31" s="472"/>
      <c r="H31" s="473"/>
      <c r="I31" s="293"/>
      <c r="J31" s="293"/>
      <c r="K31" s="293"/>
      <c r="L31" s="293"/>
    </row>
    <row r="32" spans="1:14" s="14" customFormat="1" ht="27" customHeight="1" x14ac:dyDescent="0.4">
      <c r="A32" s="290" t="s">
        <v>54</v>
      </c>
      <c r="B32" s="297">
        <v>1</v>
      </c>
      <c r="C32" s="471" t="s">
        <v>55</v>
      </c>
      <c r="D32" s="472"/>
      <c r="E32" s="472"/>
      <c r="F32" s="472"/>
      <c r="G32" s="472"/>
      <c r="H32" s="473"/>
      <c r="I32" s="293"/>
      <c r="J32" s="293"/>
      <c r="K32" s="293"/>
      <c r="L32" s="298"/>
      <c r="M32" s="298"/>
      <c r="N32" s="299"/>
    </row>
    <row r="33" spans="1:14" s="14" customFormat="1" ht="17.25" customHeight="1" x14ac:dyDescent="0.3">
      <c r="A33" s="290"/>
      <c r="B33" s="300"/>
      <c r="C33" s="301"/>
      <c r="D33" s="301"/>
      <c r="E33" s="301"/>
      <c r="F33" s="301"/>
      <c r="G33" s="301"/>
      <c r="H33" s="301"/>
      <c r="I33" s="293"/>
      <c r="J33" s="293"/>
      <c r="K33" s="293"/>
      <c r="L33" s="298"/>
      <c r="M33" s="298"/>
      <c r="N33" s="299"/>
    </row>
    <row r="34" spans="1:14" s="14" customFormat="1" ht="18.75" x14ac:dyDescent="0.3">
      <c r="A34" s="290" t="s">
        <v>56</v>
      </c>
      <c r="B34" s="302">
        <f>B31/B32</f>
        <v>1</v>
      </c>
      <c r="C34" s="280" t="s">
        <v>57</v>
      </c>
      <c r="D34" s="280"/>
      <c r="E34" s="280"/>
      <c r="F34" s="280"/>
      <c r="G34" s="280"/>
      <c r="I34" s="293"/>
      <c r="J34" s="293"/>
      <c r="K34" s="293"/>
      <c r="L34" s="298"/>
      <c r="M34" s="298"/>
      <c r="N34" s="299"/>
    </row>
    <row r="35" spans="1:14" s="14" customFormat="1" ht="19.5" customHeight="1" x14ac:dyDescent="0.3">
      <c r="A35" s="290"/>
      <c r="B35" s="294"/>
      <c r="G35" s="280"/>
      <c r="I35" s="293"/>
      <c r="J35" s="293"/>
      <c r="K35" s="293"/>
      <c r="L35" s="298"/>
      <c r="M35" s="298"/>
      <c r="N35" s="299"/>
    </row>
    <row r="36" spans="1:14" s="14" customFormat="1" ht="27" customHeight="1" x14ac:dyDescent="0.4">
      <c r="A36" s="303" t="s">
        <v>58</v>
      </c>
      <c r="B36" s="304">
        <v>25</v>
      </c>
      <c r="C36" s="280"/>
      <c r="D36" s="474" t="s">
        <v>59</v>
      </c>
      <c r="E36" s="499"/>
      <c r="F36" s="474" t="s">
        <v>60</v>
      </c>
      <c r="G36" s="475"/>
      <c r="J36" s="293"/>
      <c r="K36" s="293"/>
      <c r="L36" s="298"/>
      <c r="M36" s="298"/>
      <c r="N36" s="299"/>
    </row>
    <row r="37" spans="1:14" s="14" customFormat="1" ht="27" customHeight="1" x14ac:dyDescent="0.4">
      <c r="A37" s="305" t="s">
        <v>61</v>
      </c>
      <c r="B37" s="306">
        <v>4</v>
      </c>
      <c r="C37" s="307" t="s">
        <v>62</v>
      </c>
      <c r="D37" s="308" t="s">
        <v>63</v>
      </c>
      <c r="E37" s="309" t="s">
        <v>64</v>
      </c>
      <c r="F37" s="308" t="s">
        <v>63</v>
      </c>
      <c r="G37" s="310" t="s">
        <v>64</v>
      </c>
      <c r="I37" s="311" t="s">
        <v>65</v>
      </c>
      <c r="J37" s="293"/>
      <c r="K37" s="293"/>
      <c r="L37" s="298"/>
      <c r="M37" s="298"/>
      <c r="N37" s="299"/>
    </row>
    <row r="38" spans="1:14" s="14" customFormat="1" ht="26.25" customHeight="1" x14ac:dyDescent="0.4">
      <c r="A38" s="305" t="s">
        <v>66</v>
      </c>
      <c r="B38" s="306">
        <v>100</v>
      </c>
      <c r="C38" s="312">
        <v>1</v>
      </c>
      <c r="D38" s="313">
        <v>4844681</v>
      </c>
      <c r="E38" s="314">
        <f>IF(ISBLANK(D38),"-",$D$48/$D$45*D38)</f>
        <v>4980762.9139535837</v>
      </c>
      <c r="F38" s="313">
        <v>5336796</v>
      </c>
      <c r="G38" s="315">
        <f>IF(ISBLANK(F38),"-",$D$48/$F$45*F38)</f>
        <v>5024151.8242430482</v>
      </c>
      <c r="I38" s="316"/>
      <c r="J38" s="293"/>
      <c r="K38" s="293"/>
      <c r="L38" s="298"/>
      <c r="M38" s="298"/>
      <c r="N38" s="299"/>
    </row>
    <row r="39" spans="1:14" s="14" customFormat="1" ht="26.25" customHeight="1" x14ac:dyDescent="0.4">
      <c r="A39" s="305" t="s">
        <v>67</v>
      </c>
      <c r="B39" s="306">
        <v>1</v>
      </c>
      <c r="C39" s="317">
        <v>2</v>
      </c>
      <c r="D39" s="318">
        <v>4838814</v>
      </c>
      <c r="E39" s="319">
        <f>IF(ISBLANK(D39),"-",$D$48/$D$45*D39)</f>
        <v>4974731.1161910137</v>
      </c>
      <c r="F39" s="318">
        <v>5370622</v>
      </c>
      <c r="G39" s="320">
        <f>IF(ISBLANK(F39),"-",$D$48/$F$45*F39)</f>
        <v>5055996.2042056415</v>
      </c>
      <c r="I39" s="476">
        <f>ABS((F43/D43*D42)-F42)/D42</f>
        <v>1.251247693705298E-2</v>
      </c>
      <c r="J39" s="293"/>
      <c r="K39" s="293"/>
      <c r="L39" s="298"/>
      <c r="M39" s="298"/>
      <c r="N39" s="299"/>
    </row>
    <row r="40" spans="1:14" ht="26.25" customHeight="1" x14ac:dyDescent="0.4">
      <c r="A40" s="305" t="s">
        <v>68</v>
      </c>
      <c r="B40" s="306">
        <v>1</v>
      </c>
      <c r="C40" s="317">
        <v>3</v>
      </c>
      <c r="D40" s="318">
        <v>4828506</v>
      </c>
      <c r="E40" s="319">
        <f>IF(ISBLANK(D40),"-",$D$48/$D$45*D40)</f>
        <v>4964133.5754825473</v>
      </c>
      <c r="F40" s="318">
        <v>5322213</v>
      </c>
      <c r="G40" s="320">
        <f>IF(ISBLANK(F40),"-",$D$48/$F$45*F40)</f>
        <v>5010423.136458667</v>
      </c>
      <c r="I40" s="476"/>
      <c r="L40" s="298"/>
      <c r="M40" s="298"/>
      <c r="N40" s="321"/>
    </row>
    <row r="41" spans="1:14" ht="27" customHeight="1" x14ac:dyDescent="0.4">
      <c r="A41" s="305" t="s">
        <v>69</v>
      </c>
      <c r="B41" s="306">
        <v>1</v>
      </c>
      <c r="C41" s="322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I41" s="326"/>
      <c r="L41" s="298"/>
      <c r="M41" s="298"/>
      <c r="N41" s="321"/>
    </row>
    <row r="42" spans="1:14" ht="27" customHeight="1" x14ac:dyDescent="0.4">
      <c r="A42" s="305" t="s">
        <v>70</v>
      </c>
      <c r="B42" s="306">
        <v>1</v>
      </c>
      <c r="C42" s="327" t="s">
        <v>71</v>
      </c>
      <c r="D42" s="328">
        <f>AVERAGE(D38:D41)</f>
        <v>4837333.666666667</v>
      </c>
      <c r="E42" s="329">
        <f>AVERAGE(E38:E41)</f>
        <v>4973209.2018757155</v>
      </c>
      <c r="F42" s="328">
        <f>AVERAGE(F38:F41)</f>
        <v>5343210.333333333</v>
      </c>
      <c r="G42" s="330">
        <f>AVERAGE(G38:G41)</f>
        <v>5030190.3883024519</v>
      </c>
      <c r="H42" s="331"/>
    </row>
    <row r="43" spans="1:14" ht="26.25" customHeight="1" x14ac:dyDescent="0.4">
      <c r="A43" s="305" t="s">
        <v>72</v>
      </c>
      <c r="B43" s="306">
        <v>1</v>
      </c>
      <c r="C43" s="332" t="s">
        <v>73</v>
      </c>
      <c r="D43" s="333">
        <v>19.66</v>
      </c>
      <c r="E43" s="321"/>
      <c r="F43" s="333">
        <v>21.47</v>
      </c>
      <c r="H43" s="331"/>
    </row>
    <row r="44" spans="1:14" ht="26.25" customHeight="1" x14ac:dyDescent="0.4">
      <c r="A44" s="305" t="s">
        <v>74</v>
      </c>
      <c r="B44" s="306">
        <v>1</v>
      </c>
      <c r="C44" s="334" t="s">
        <v>75</v>
      </c>
      <c r="D44" s="335">
        <f>D43*$B$34</f>
        <v>19.66</v>
      </c>
      <c r="E44" s="336"/>
      <c r="F44" s="335">
        <f>F43*$B$34</f>
        <v>21.47</v>
      </c>
      <c r="H44" s="331"/>
    </row>
    <row r="45" spans="1:14" ht="19.5" customHeight="1" x14ac:dyDescent="0.3">
      <c r="A45" s="305" t="s">
        <v>76</v>
      </c>
      <c r="B45" s="337">
        <f>(B44/B43)*(B42/B41)*(B40/B39)*(B38/B37)*B36</f>
        <v>625</v>
      </c>
      <c r="C45" s="334" t="s">
        <v>77</v>
      </c>
      <c r="D45" s="338">
        <f>D44*$B$30/100</f>
        <v>19.453569999999999</v>
      </c>
      <c r="E45" s="339"/>
      <c r="F45" s="338">
        <f>F44*$B$30/100</f>
        <v>21.244564999999998</v>
      </c>
      <c r="H45" s="331"/>
    </row>
    <row r="46" spans="1:14" ht="19.5" customHeight="1" x14ac:dyDescent="0.3">
      <c r="A46" s="462" t="s">
        <v>78</v>
      </c>
      <c r="B46" s="463"/>
      <c r="C46" s="334" t="s">
        <v>79</v>
      </c>
      <c r="D46" s="340">
        <f>D45/$B$45</f>
        <v>3.1125712E-2</v>
      </c>
      <c r="E46" s="341"/>
      <c r="F46" s="342">
        <f>F45/$B$45</f>
        <v>3.3991304E-2</v>
      </c>
      <c r="H46" s="331"/>
    </row>
    <row r="47" spans="1:14" ht="27" customHeight="1" x14ac:dyDescent="0.4">
      <c r="A47" s="464"/>
      <c r="B47" s="465"/>
      <c r="C47" s="343" t="s">
        <v>80</v>
      </c>
      <c r="D47" s="344">
        <v>3.2000000000000001E-2</v>
      </c>
      <c r="E47" s="345"/>
      <c r="F47" s="341"/>
      <c r="H47" s="331"/>
    </row>
    <row r="48" spans="1:14" ht="18.75" x14ac:dyDescent="0.3">
      <c r="C48" s="346" t="s">
        <v>81</v>
      </c>
      <c r="D48" s="338">
        <f>D47*$B$45</f>
        <v>20</v>
      </c>
      <c r="F48" s="347"/>
      <c r="H48" s="331"/>
    </row>
    <row r="49" spans="1:12" ht="19.5" customHeight="1" x14ac:dyDescent="0.3">
      <c r="C49" s="348" t="s">
        <v>82</v>
      </c>
      <c r="D49" s="349">
        <f>D48/B34</f>
        <v>20</v>
      </c>
      <c r="F49" s="347"/>
      <c r="H49" s="331"/>
    </row>
    <row r="50" spans="1:12" ht="18.75" x14ac:dyDescent="0.3">
      <c r="C50" s="303" t="s">
        <v>83</v>
      </c>
      <c r="D50" s="350">
        <f>AVERAGE(E38:E41,G38:G41)</f>
        <v>5001699.7950890837</v>
      </c>
      <c r="F50" s="351"/>
      <c r="H50" s="331"/>
    </row>
    <row r="51" spans="1:12" ht="18.75" x14ac:dyDescent="0.3">
      <c r="C51" s="305" t="s">
        <v>84</v>
      </c>
      <c r="D51" s="352">
        <f>STDEV(E38:E41,G38:G41)/D50</f>
        <v>6.9862865257340626E-3</v>
      </c>
      <c r="F51" s="351"/>
      <c r="H51" s="331"/>
    </row>
    <row r="52" spans="1:12" ht="19.5" customHeight="1" x14ac:dyDescent="0.3">
      <c r="C52" s="353" t="s">
        <v>20</v>
      </c>
      <c r="D52" s="354">
        <f>COUNT(E38:E41,G38:G41)</f>
        <v>6</v>
      </c>
      <c r="F52" s="351"/>
    </row>
    <row r="54" spans="1:12" ht="18.75" x14ac:dyDescent="0.3">
      <c r="A54" s="355" t="s">
        <v>1</v>
      </c>
      <c r="B54" s="356" t="s">
        <v>85</v>
      </c>
    </row>
    <row r="55" spans="1:12" ht="18.75" x14ac:dyDescent="0.3">
      <c r="A55" s="280" t="s">
        <v>86</v>
      </c>
      <c r="B55" s="357" t="str">
        <f>B21</f>
        <v>Each tablet contains: Sulfamethoxazole BP 800 mg and Trimethoprim BP 160 mg</v>
      </c>
    </row>
    <row r="56" spans="1:12" ht="26.25" customHeight="1" x14ac:dyDescent="0.4">
      <c r="A56" s="358" t="s">
        <v>87</v>
      </c>
      <c r="B56" s="359">
        <v>160</v>
      </c>
      <c r="C56" s="280" t="str">
        <f>B20</f>
        <v>Trimethoprim</v>
      </c>
      <c r="H56" s="360"/>
    </row>
    <row r="57" spans="1:12" ht="18.75" x14ac:dyDescent="0.3">
      <c r="A57" s="357" t="s">
        <v>88</v>
      </c>
      <c r="B57" s="412">
        <f>Uniformity!C46</f>
        <v>1087.7494999999999</v>
      </c>
      <c r="H57" s="360"/>
    </row>
    <row r="58" spans="1:12" ht="19.5" customHeight="1" x14ac:dyDescent="0.3">
      <c r="H58" s="360"/>
    </row>
    <row r="59" spans="1:12" s="14" customFormat="1" ht="27" customHeight="1" x14ac:dyDescent="0.4">
      <c r="A59" s="303" t="s">
        <v>89</v>
      </c>
      <c r="B59" s="304">
        <v>100</v>
      </c>
      <c r="C59" s="280"/>
      <c r="D59" s="361" t="s">
        <v>90</v>
      </c>
      <c r="E59" s="362" t="s">
        <v>62</v>
      </c>
      <c r="F59" s="362" t="s">
        <v>63</v>
      </c>
      <c r="G59" s="362" t="s">
        <v>91</v>
      </c>
      <c r="H59" s="307" t="s">
        <v>92</v>
      </c>
      <c r="L59" s="293"/>
    </row>
    <row r="60" spans="1:12" s="14" customFormat="1" ht="26.25" customHeight="1" x14ac:dyDescent="0.4">
      <c r="A60" s="305" t="s">
        <v>93</v>
      </c>
      <c r="B60" s="306">
        <v>2</v>
      </c>
      <c r="C60" s="479" t="s">
        <v>94</v>
      </c>
      <c r="D60" s="482">
        <v>1285.58</v>
      </c>
      <c r="E60" s="363">
        <v>1</v>
      </c>
      <c r="F60" s="364">
        <v>5742892</v>
      </c>
      <c r="G60" s="413">
        <f>IF(ISBLANK(F60),"-",(F60/$D$50*$D$47*$B$68)*($B$57/$D$60))</f>
        <v>155.44000268305342</v>
      </c>
      <c r="H60" s="429">
        <f t="shared" ref="H60:H71" si="0">IF(ISBLANK(F60),"-",(G60/$B$56)*100)</f>
        <v>97.150001676908389</v>
      </c>
      <c r="L60" s="293"/>
    </row>
    <row r="61" spans="1:12" s="14" customFormat="1" ht="26.25" customHeight="1" x14ac:dyDescent="0.4">
      <c r="A61" s="305" t="s">
        <v>95</v>
      </c>
      <c r="B61" s="306">
        <v>100</v>
      </c>
      <c r="C61" s="480"/>
      <c r="D61" s="483"/>
      <c r="E61" s="365">
        <v>2</v>
      </c>
      <c r="F61" s="318">
        <v>5747324</v>
      </c>
      <c r="G61" s="414">
        <f>IF(ISBLANK(F61),"-",(F61/$D$50*$D$47*$B$68)*($B$57/$D$60))</f>
        <v>155.55996142368292</v>
      </c>
      <c r="H61" s="430">
        <f t="shared" si="0"/>
        <v>97.224975889801826</v>
      </c>
      <c r="L61" s="293"/>
    </row>
    <row r="62" spans="1:12" s="14" customFormat="1" ht="26.25" customHeight="1" x14ac:dyDescent="0.4">
      <c r="A62" s="305" t="s">
        <v>96</v>
      </c>
      <c r="B62" s="306">
        <v>1</v>
      </c>
      <c r="C62" s="480"/>
      <c r="D62" s="483"/>
      <c r="E62" s="365">
        <v>3</v>
      </c>
      <c r="F62" s="366">
        <v>5726648</v>
      </c>
      <c r="G62" s="414">
        <f>IF(ISBLANK(F62),"-",(F62/$D$50*$D$47*$B$68)*($B$57/$D$60))</f>
        <v>155.00033441076422</v>
      </c>
      <c r="H62" s="430">
        <f t="shared" si="0"/>
        <v>96.87520900672763</v>
      </c>
      <c r="L62" s="293"/>
    </row>
    <row r="63" spans="1:12" ht="27" customHeight="1" x14ac:dyDescent="0.4">
      <c r="A63" s="305" t="s">
        <v>97</v>
      </c>
      <c r="B63" s="306">
        <v>1</v>
      </c>
      <c r="C63" s="489"/>
      <c r="D63" s="484"/>
      <c r="E63" s="367">
        <v>4</v>
      </c>
      <c r="F63" s="368"/>
      <c r="G63" s="414" t="str">
        <f>IF(ISBLANK(F63),"-",(F63/$D$50*$D$47*$B$68)*($B$57/$D$60))</f>
        <v>-</v>
      </c>
      <c r="H63" s="430" t="str">
        <f t="shared" si="0"/>
        <v>-</v>
      </c>
    </row>
    <row r="64" spans="1:12" ht="26.25" customHeight="1" x14ac:dyDescent="0.4">
      <c r="A64" s="305" t="s">
        <v>98</v>
      </c>
      <c r="B64" s="306">
        <v>1</v>
      </c>
      <c r="C64" s="479" t="s">
        <v>99</v>
      </c>
      <c r="D64" s="482">
        <v>1092.24</v>
      </c>
      <c r="E64" s="363">
        <v>1</v>
      </c>
      <c r="F64" s="364">
        <v>4993743</v>
      </c>
      <c r="G64" s="413">
        <f>IF(ISBLANK(F64),"-",(F64/$D$50*$D$47*$B$68)*($B$57/$D$64))</f>
        <v>159.08871138842943</v>
      </c>
      <c r="H64" s="429">
        <f t="shared" si="0"/>
        <v>99.430444617768401</v>
      </c>
    </row>
    <row r="65" spans="1:8" ht="26.25" customHeight="1" x14ac:dyDescent="0.4">
      <c r="A65" s="305" t="s">
        <v>100</v>
      </c>
      <c r="B65" s="306">
        <v>1</v>
      </c>
      <c r="C65" s="480"/>
      <c r="D65" s="483"/>
      <c r="E65" s="365">
        <v>2</v>
      </c>
      <c r="F65" s="318">
        <v>5008071</v>
      </c>
      <c r="G65" s="414">
        <f>IF(ISBLANK(F65),"-",(F65/$D$50*$D$47*$B$68)*($B$57/$D$64))</f>
        <v>159.54516720859749</v>
      </c>
      <c r="H65" s="430">
        <f t="shared" si="0"/>
        <v>99.715729505373432</v>
      </c>
    </row>
    <row r="66" spans="1:8" ht="26.25" customHeight="1" x14ac:dyDescent="0.4">
      <c r="A66" s="305" t="s">
        <v>101</v>
      </c>
      <c r="B66" s="306">
        <v>1</v>
      </c>
      <c r="C66" s="480"/>
      <c r="D66" s="483"/>
      <c r="E66" s="365">
        <v>3</v>
      </c>
      <c r="F66" s="318">
        <v>5002751</v>
      </c>
      <c r="G66" s="414">
        <f>IF(ISBLANK(F66),"-",(F66/$D$50*$D$47*$B$68)*($B$57/$D$64))</f>
        <v>159.37568472930562</v>
      </c>
      <c r="H66" s="430">
        <f t="shared" si="0"/>
        <v>99.609802955816008</v>
      </c>
    </row>
    <row r="67" spans="1:8" ht="27" customHeight="1" x14ac:dyDescent="0.4">
      <c r="A67" s="305" t="s">
        <v>102</v>
      </c>
      <c r="B67" s="306">
        <v>1</v>
      </c>
      <c r="C67" s="489"/>
      <c r="D67" s="484"/>
      <c r="E67" s="367">
        <v>4</v>
      </c>
      <c r="F67" s="368"/>
      <c r="G67" s="428" t="str">
        <f>IF(ISBLANK(F67),"-",(F67/$D$50*$D$47*$B$68)*($B$57/$D$64))</f>
        <v>-</v>
      </c>
      <c r="H67" s="431" t="str">
        <f t="shared" si="0"/>
        <v>-</v>
      </c>
    </row>
    <row r="68" spans="1:8" ht="26.25" customHeight="1" x14ac:dyDescent="0.4">
      <c r="A68" s="305" t="s">
        <v>103</v>
      </c>
      <c r="B68" s="369">
        <f>(B67/B66)*(B65/B64)*(B63/B62)*(B61/B60)*B59</f>
        <v>5000</v>
      </c>
      <c r="C68" s="479" t="s">
        <v>104</v>
      </c>
      <c r="D68" s="482">
        <v>1066.44</v>
      </c>
      <c r="E68" s="363">
        <v>1</v>
      </c>
      <c r="F68" s="364">
        <v>4983397</v>
      </c>
      <c r="G68" s="413">
        <f>IF(ISBLANK(F68),"-",(F68/$D$50*$D$47*$B$68)*($B$57/$D$68))</f>
        <v>162.59991477253877</v>
      </c>
      <c r="H68" s="430">
        <f t="shared" si="0"/>
        <v>101.62494673283673</v>
      </c>
    </row>
    <row r="69" spans="1:8" ht="27" customHeight="1" x14ac:dyDescent="0.4">
      <c r="A69" s="353" t="s">
        <v>105</v>
      </c>
      <c r="B69" s="370">
        <f>(D47*B68)/B56*B57</f>
        <v>1087.7494999999999</v>
      </c>
      <c r="C69" s="480"/>
      <c r="D69" s="483"/>
      <c r="E69" s="365">
        <v>2</v>
      </c>
      <c r="F69" s="318">
        <v>4986946</v>
      </c>
      <c r="G69" s="414">
        <f>IF(ISBLANK(F69),"-",(F69/$D$50*$D$47*$B$68)*($B$57/$D$68))</f>
        <v>162.71571271067771</v>
      </c>
      <c r="H69" s="430">
        <f t="shared" si="0"/>
        <v>101.69732044417357</v>
      </c>
    </row>
    <row r="70" spans="1:8" ht="26.25" customHeight="1" x14ac:dyDescent="0.4">
      <c r="A70" s="485" t="s">
        <v>78</v>
      </c>
      <c r="B70" s="486"/>
      <c r="C70" s="480"/>
      <c r="D70" s="483"/>
      <c r="E70" s="365">
        <v>3</v>
      </c>
      <c r="F70" s="318">
        <v>4999145</v>
      </c>
      <c r="G70" s="414">
        <f>IF(ISBLANK(F70),"-",(F70/$D$50*$D$47*$B$68)*($B$57/$D$68))</f>
        <v>163.11374569105439</v>
      </c>
      <c r="H70" s="430">
        <f t="shared" si="0"/>
        <v>101.946091056909</v>
      </c>
    </row>
    <row r="71" spans="1:8" ht="27" customHeight="1" thickBot="1" x14ac:dyDescent="0.45">
      <c r="A71" s="487"/>
      <c r="B71" s="488"/>
      <c r="C71" s="481"/>
      <c r="D71" s="484"/>
      <c r="E71" s="367">
        <v>4</v>
      </c>
      <c r="F71" s="368"/>
      <c r="G71" s="428" t="str">
        <f>IF(ISBLANK(F71),"-",(F71/$D$50*$D$47*$B$68)*($B$57/$D$68))</f>
        <v>-</v>
      </c>
      <c r="H71" s="430" t="str">
        <f t="shared" si="0"/>
        <v>-</v>
      </c>
    </row>
    <row r="72" spans="1:8" ht="26.25" customHeight="1" x14ac:dyDescent="0.4">
      <c r="A72" s="371"/>
      <c r="B72" s="371"/>
      <c r="C72" s="371"/>
      <c r="D72" s="371"/>
      <c r="E72" s="371"/>
      <c r="F72" s="373" t="s">
        <v>71</v>
      </c>
      <c r="G72" s="501">
        <f>AVERAGE(G60:G71)</f>
        <v>159.15991500201156</v>
      </c>
      <c r="H72" s="503">
        <f>AVERAGE(H60:H71)</f>
        <v>99.474946876257221</v>
      </c>
    </row>
    <row r="73" spans="1:8" ht="26.25" customHeight="1" x14ac:dyDescent="0.4">
      <c r="C73" s="371"/>
      <c r="D73" s="371"/>
      <c r="E73" s="371"/>
      <c r="F73" s="374" t="s">
        <v>84</v>
      </c>
      <c r="G73" s="505">
        <f>STDEV(G60:G71)/G72*100</f>
        <v>2.0408793864293817</v>
      </c>
      <c r="H73" s="505">
        <f>STDEV(H60:H71)/H72*100</f>
        <v>2.0408793864293848</v>
      </c>
    </row>
    <row r="74" spans="1:8" ht="27" customHeight="1" thickBot="1" x14ac:dyDescent="0.45">
      <c r="A74" s="371"/>
      <c r="B74" s="371"/>
      <c r="C74" s="372"/>
      <c r="D74" s="372"/>
      <c r="E74" s="375"/>
      <c r="F74" s="376" t="s">
        <v>20</v>
      </c>
      <c r="G74" s="502">
        <f>COUNT(G60:G71)</f>
        <v>9</v>
      </c>
      <c r="H74" s="504">
        <f>COUNT(H60:H71)</f>
        <v>9</v>
      </c>
    </row>
    <row r="76" spans="1:8" ht="26.25" customHeight="1" x14ac:dyDescent="0.4">
      <c r="A76" s="289" t="s">
        <v>106</v>
      </c>
      <c r="B76" s="377" t="s">
        <v>107</v>
      </c>
      <c r="C76" s="466" t="str">
        <f>B26</f>
        <v>trimethoprim</v>
      </c>
      <c r="D76" s="466"/>
      <c r="E76" s="378" t="s">
        <v>108</v>
      </c>
      <c r="F76" s="378"/>
      <c r="G76" s="447">
        <f>H72</f>
        <v>99.474946876257221</v>
      </c>
      <c r="H76" s="380"/>
    </row>
    <row r="77" spans="1:8" ht="18.75" x14ac:dyDescent="0.3">
      <c r="A77" s="288" t="s">
        <v>109</v>
      </c>
      <c r="B77" s="288" t="s">
        <v>110</v>
      </c>
    </row>
    <row r="78" spans="1:8" ht="18.75" x14ac:dyDescent="0.3">
      <c r="A78" s="288"/>
      <c r="B78" s="288"/>
    </row>
    <row r="79" spans="1:8" ht="26.25" customHeight="1" x14ac:dyDescent="0.4">
      <c r="A79" s="289" t="s">
        <v>4</v>
      </c>
      <c r="B79" s="500" t="str">
        <f>B26</f>
        <v>trimethoprim</v>
      </c>
      <c r="C79" s="500"/>
    </row>
    <row r="80" spans="1:8" ht="26.25" customHeight="1" x14ac:dyDescent="0.4">
      <c r="A80" s="290" t="s">
        <v>48</v>
      </c>
      <c r="B80" s="500" t="str">
        <f>B27</f>
        <v>t7-4</v>
      </c>
      <c r="C80" s="500"/>
    </row>
    <row r="81" spans="1:12" ht="27" customHeight="1" x14ac:dyDescent="0.4">
      <c r="A81" s="290" t="s">
        <v>6</v>
      </c>
      <c r="B81" s="381">
        <f>B28</f>
        <v>98.95</v>
      </c>
    </row>
    <row r="82" spans="1:12" s="14" customFormat="1" ht="27" customHeight="1" x14ac:dyDescent="0.4">
      <c r="A82" s="290" t="s">
        <v>49</v>
      </c>
      <c r="B82" s="292">
        <v>0</v>
      </c>
      <c r="C82" s="468" t="s">
        <v>50</v>
      </c>
      <c r="D82" s="469"/>
      <c r="E82" s="469"/>
      <c r="F82" s="469"/>
      <c r="G82" s="470"/>
      <c r="I82" s="293"/>
      <c r="J82" s="293"/>
      <c r="K82" s="293"/>
      <c r="L82" s="293"/>
    </row>
    <row r="83" spans="1:12" s="14" customFormat="1" ht="19.5" customHeight="1" x14ac:dyDescent="0.3">
      <c r="A83" s="290" t="s">
        <v>51</v>
      </c>
      <c r="B83" s="294">
        <f>B81-B82</f>
        <v>98.95</v>
      </c>
      <c r="C83" s="295"/>
      <c r="D83" s="295"/>
      <c r="E83" s="295"/>
      <c r="F83" s="295"/>
      <c r="G83" s="296"/>
      <c r="I83" s="293"/>
      <c r="J83" s="293"/>
      <c r="K83" s="293"/>
      <c r="L83" s="293"/>
    </row>
    <row r="84" spans="1:12" s="14" customFormat="1" ht="27" customHeight="1" x14ac:dyDescent="0.4">
      <c r="A84" s="290" t="s">
        <v>52</v>
      </c>
      <c r="B84" s="297">
        <v>1</v>
      </c>
      <c r="C84" s="471" t="s">
        <v>111</v>
      </c>
      <c r="D84" s="472"/>
      <c r="E84" s="472"/>
      <c r="F84" s="472"/>
      <c r="G84" s="472"/>
      <c r="H84" s="473"/>
      <c r="I84" s="293"/>
      <c r="J84" s="293"/>
      <c r="K84" s="293"/>
      <c r="L84" s="293"/>
    </row>
    <row r="85" spans="1:12" s="14" customFormat="1" ht="27" customHeight="1" x14ac:dyDescent="0.4">
      <c r="A85" s="290" t="s">
        <v>54</v>
      </c>
      <c r="B85" s="297">
        <v>1</v>
      </c>
      <c r="C85" s="471" t="s">
        <v>112</v>
      </c>
      <c r="D85" s="472"/>
      <c r="E85" s="472"/>
      <c r="F85" s="472"/>
      <c r="G85" s="472"/>
      <c r="H85" s="473"/>
      <c r="I85" s="293"/>
      <c r="J85" s="293"/>
      <c r="K85" s="293"/>
      <c r="L85" s="293"/>
    </row>
    <row r="86" spans="1:12" s="14" customFormat="1" ht="18.75" x14ac:dyDescent="0.3">
      <c r="A86" s="290"/>
      <c r="B86" s="300"/>
      <c r="C86" s="301"/>
      <c r="D86" s="301"/>
      <c r="E86" s="301"/>
      <c r="F86" s="301"/>
      <c r="G86" s="301"/>
      <c r="H86" s="301"/>
      <c r="I86" s="293"/>
      <c r="J86" s="293"/>
      <c r="K86" s="293"/>
      <c r="L86" s="293"/>
    </row>
    <row r="87" spans="1:12" s="14" customFormat="1" ht="18.75" x14ac:dyDescent="0.3">
      <c r="A87" s="290" t="s">
        <v>56</v>
      </c>
      <c r="B87" s="302">
        <f>B84/B85</f>
        <v>1</v>
      </c>
      <c r="C87" s="280" t="s">
        <v>57</v>
      </c>
      <c r="D87" s="280"/>
      <c r="E87" s="280"/>
      <c r="F87" s="280"/>
      <c r="G87" s="280"/>
      <c r="I87" s="293"/>
      <c r="J87" s="293"/>
      <c r="K87" s="293"/>
      <c r="L87" s="293"/>
    </row>
    <row r="88" spans="1:12" ht="19.5" customHeight="1" thickBot="1" x14ac:dyDescent="0.35">
      <c r="A88" s="288"/>
      <c r="B88" s="288"/>
    </row>
    <row r="89" spans="1:12" ht="27" customHeight="1" thickBot="1" x14ac:dyDescent="0.45">
      <c r="A89" s="303" t="s">
        <v>58</v>
      </c>
      <c r="B89" s="304">
        <v>25</v>
      </c>
      <c r="D89" s="528" t="s">
        <v>59</v>
      </c>
      <c r="E89" s="529"/>
      <c r="F89" s="499" t="s">
        <v>60</v>
      </c>
      <c r="G89" s="475"/>
    </row>
    <row r="90" spans="1:12" ht="27" customHeight="1" thickBot="1" x14ac:dyDescent="0.45">
      <c r="A90" s="305" t="s">
        <v>61</v>
      </c>
      <c r="B90" s="306">
        <v>4</v>
      </c>
      <c r="C90" s="382" t="s">
        <v>62</v>
      </c>
      <c r="D90" s="530" t="s">
        <v>63</v>
      </c>
      <c r="E90" s="531" t="s">
        <v>64</v>
      </c>
      <c r="F90" s="523" t="s">
        <v>63</v>
      </c>
      <c r="G90" s="383" t="s">
        <v>64</v>
      </c>
      <c r="I90" s="311" t="s">
        <v>65</v>
      </c>
    </row>
    <row r="91" spans="1:12" ht="26.25" customHeight="1" x14ac:dyDescent="0.4">
      <c r="A91" s="305" t="s">
        <v>66</v>
      </c>
      <c r="B91" s="306">
        <v>100</v>
      </c>
      <c r="C91" s="384">
        <v>1</v>
      </c>
      <c r="D91" s="532">
        <f>D38</f>
        <v>4844681</v>
      </c>
      <c r="E91" s="533">
        <f>IF(ISBLANK(D91),"-",$D$101/$D$98*D91)</f>
        <v>5534181.0155039812</v>
      </c>
      <c r="F91" s="524">
        <f>F38</f>
        <v>5336796</v>
      </c>
      <c r="G91" s="510">
        <f>IF(ISBLANK(F91),"-",$D$101/$F$98*F91)</f>
        <v>5582390.9158256091</v>
      </c>
      <c r="I91" s="316"/>
    </row>
    <row r="92" spans="1:12" ht="26.25" customHeight="1" x14ac:dyDescent="0.4">
      <c r="A92" s="305" t="s">
        <v>67</v>
      </c>
      <c r="B92" s="306">
        <v>1</v>
      </c>
      <c r="C92" s="372">
        <v>2</v>
      </c>
      <c r="D92" s="534">
        <f t="shared" ref="D92:D94" si="1">D39</f>
        <v>4838814</v>
      </c>
      <c r="E92" s="535">
        <f>IF(ISBLANK(D92),"-",$D$101/$D$98*D92)</f>
        <v>5527479.0179900145</v>
      </c>
      <c r="F92" s="525">
        <f t="shared" ref="F92:F94" si="2">F39</f>
        <v>5370622</v>
      </c>
      <c r="G92" s="511">
        <f>IF(ISBLANK(F92),"-",$D$101/$F$98*F92)</f>
        <v>5617773.5602284893</v>
      </c>
      <c r="I92" s="476">
        <f>ABS((F96/D96*D95)-F95)/D95</f>
        <v>1.251247693705298E-2</v>
      </c>
    </row>
    <row r="93" spans="1:12" ht="26.25" customHeight="1" x14ac:dyDescent="0.4">
      <c r="A93" s="305" t="s">
        <v>68</v>
      </c>
      <c r="B93" s="306">
        <v>1</v>
      </c>
      <c r="C93" s="372">
        <v>3</v>
      </c>
      <c r="D93" s="534">
        <f t="shared" si="1"/>
        <v>4828506</v>
      </c>
      <c r="E93" s="535">
        <f>IF(ISBLANK(D93),"-",$D$101/$D$98*D93)</f>
        <v>5515703.9727583854</v>
      </c>
      <c r="F93" s="525">
        <f t="shared" si="2"/>
        <v>5322213</v>
      </c>
      <c r="G93" s="511">
        <f>IF(ISBLANK(F93),"-",$D$101/$F$98*F93)</f>
        <v>5567136.818287407</v>
      </c>
      <c r="I93" s="476"/>
    </row>
    <row r="94" spans="1:12" ht="27" customHeight="1" thickBot="1" x14ac:dyDescent="0.45">
      <c r="A94" s="305" t="s">
        <v>69</v>
      </c>
      <c r="B94" s="306">
        <v>1</v>
      </c>
      <c r="C94" s="385">
        <v>4</v>
      </c>
      <c r="D94" s="536"/>
      <c r="E94" s="537" t="str">
        <f>IF(ISBLANK(D94),"-",$D$101/$D$98*D94)</f>
        <v>-</v>
      </c>
      <c r="F94" s="526"/>
      <c r="G94" s="512" t="str">
        <f>IF(ISBLANK(F94),"-",$D$101/$F$98*F94)</f>
        <v>-</v>
      </c>
      <c r="I94" s="326"/>
    </row>
    <row r="95" spans="1:12" ht="27" customHeight="1" thickBot="1" x14ac:dyDescent="0.45">
      <c r="A95" s="305" t="s">
        <v>70</v>
      </c>
      <c r="B95" s="306">
        <v>1</v>
      </c>
      <c r="C95" s="386" t="s">
        <v>71</v>
      </c>
      <c r="D95" s="538">
        <f>AVERAGE(D91:D94)</f>
        <v>4837333.666666667</v>
      </c>
      <c r="E95" s="539">
        <f>AVERAGE(E91:E94)</f>
        <v>5525788.0020841276</v>
      </c>
      <c r="F95" s="527">
        <f>AVERAGE(F91:F94)</f>
        <v>5343210.333333333</v>
      </c>
      <c r="G95" s="387">
        <f>AVERAGE(G91:G94)</f>
        <v>5589100.4314471679</v>
      </c>
    </row>
    <row r="96" spans="1:12" ht="26.25" customHeight="1" x14ac:dyDescent="0.4">
      <c r="A96" s="305" t="s">
        <v>72</v>
      </c>
      <c r="B96" s="291">
        <v>1</v>
      </c>
      <c r="C96" s="540" t="s">
        <v>113</v>
      </c>
      <c r="D96" s="542">
        <v>19.66</v>
      </c>
      <c r="E96" s="321"/>
      <c r="F96" s="333">
        <v>21.47</v>
      </c>
    </row>
    <row r="97" spans="1:10" ht="26.25" customHeight="1" x14ac:dyDescent="0.4">
      <c r="A97" s="305" t="s">
        <v>74</v>
      </c>
      <c r="B97" s="291">
        <v>1</v>
      </c>
      <c r="C97" s="343" t="s">
        <v>114</v>
      </c>
      <c r="D97" s="543">
        <f>D96*$B$87</f>
        <v>19.66</v>
      </c>
      <c r="E97" s="336"/>
      <c r="F97" s="335">
        <f>F96*$B$87</f>
        <v>21.47</v>
      </c>
    </row>
    <row r="98" spans="1:10" ht="19.5" customHeight="1" thickBot="1" x14ac:dyDescent="0.35">
      <c r="A98" s="305" t="s">
        <v>76</v>
      </c>
      <c r="B98" s="388">
        <f>(B97/B96)*(B95/B94)*(B93/B92)*(B91/B90)*B89</f>
        <v>625</v>
      </c>
      <c r="C98" s="343" t="s">
        <v>115</v>
      </c>
      <c r="D98" s="544">
        <f>D97*$B$83/100</f>
        <v>19.453569999999999</v>
      </c>
      <c r="E98" s="339"/>
      <c r="F98" s="338">
        <f>F97*$B$83/100</f>
        <v>21.244564999999998</v>
      </c>
    </row>
    <row r="99" spans="1:10" ht="19.5" customHeight="1" thickBot="1" x14ac:dyDescent="0.35">
      <c r="A99" s="462" t="s">
        <v>78</v>
      </c>
      <c r="B99" s="477"/>
      <c r="C99" s="343" t="s">
        <v>116</v>
      </c>
      <c r="D99" s="545">
        <f>D98/$B$98</f>
        <v>3.1125712E-2</v>
      </c>
      <c r="E99" s="339"/>
      <c r="F99" s="342">
        <f>F98/$B$98</f>
        <v>3.3991304E-2</v>
      </c>
      <c r="G99" s="389"/>
      <c r="H99" s="331"/>
    </row>
    <row r="100" spans="1:10" ht="19.5" customHeight="1" thickBot="1" x14ac:dyDescent="0.35">
      <c r="A100" s="464"/>
      <c r="B100" s="478"/>
      <c r="C100" s="343" t="s">
        <v>80</v>
      </c>
      <c r="D100" s="546">
        <f>$B$56/$B$116</f>
        <v>3.5555555555555556E-2</v>
      </c>
      <c r="F100" s="347"/>
      <c r="G100" s="390"/>
      <c r="H100" s="331"/>
    </row>
    <row r="101" spans="1:10" ht="18.75" x14ac:dyDescent="0.3">
      <c r="C101" s="343" t="s">
        <v>81</v>
      </c>
      <c r="D101" s="543">
        <f>D100*$B$98</f>
        <v>22.222222222222221</v>
      </c>
      <c r="F101" s="347"/>
      <c r="G101" s="389"/>
      <c r="H101" s="331"/>
    </row>
    <row r="102" spans="1:10" ht="19.5" customHeight="1" thickBot="1" x14ac:dyDescent="0.35">
      <c r="C102" s="346" t="s">
        <v>82</v>
      </c>
      <c r="D102" s="547">
        <f>D101/B34</f>
        <v>22.222222222222221</v>
      </c>
      <c r="F102" s="351"/>
      <c r="G102" s="389"/>
      <c r="H102" s="331"/>
      <c r="J102" s="391"/>
    </row>
    <row r="103" spans="1:10" ht="18.75" x14ac:dyDescent="0.3">
      <c r="C103" s="392" t="s">
        <v>117</v>
      </c>
      <c r="D103" s="541">
        <f>AVERAGE(E91:E94,G91:G94)</f>
        <v>5557444.2167656478</v>
      </c>
      <c r="F103" s="351"/>
      <c r="G103" s="393"/>
      <c r="H103" s="331"/>
      <c r="J103" s="394"/>
    </row>
    <row r="104" spans="1:10" ht="18.75" x14ac:dyDescent="0.3">
      <c r="C104" s="374" t="s">
        <v>84</v>
      </c>
      <c r="D104" s="395">
        <f>STDEV(E91:E94,G91:G94)/D103</f>
        <v>6.9862865257340435E-3</v>
      </c>
      <c r="F104" s="351"/>
      <c r="G104" s="389"/>
      <c r="H104" s="331"/>
      <c r="J104" s="394"/>
    </row>
    <row r="105" spans="1:10" ht="19.5" customHeight="1" x14ac:dyDescent="0.3">
      <c r="C105" s="376" t="s">
        <v>20</v>
      </c>
      <c r="D105" s="396">
        <f>COUNT(E91:E94,G91:G94)</f>
        <v>6</v>
      </c>
      <c r="F105" s="351"/>
      <c r="G105" s="389"/>
      <c r="H105" s="331"/>
      <c r="J105" s="394"/>
    </row>
    <row r="106" spans="1:10" ht="19.5" customHeight="1" x14ac:dyDescent="0.3">
      <c r="A106" s="355"/>
      <c r="B106" s="355"/>
      <c r="C106" s="355"/>
      <c r="D106" s="355"/>
      <c r="E106" s="355"/>
    </row>
    <row r="107" spans="1:10" ht="27" customHeight="1" x14ac:dyDescent="0.4">
      <c r="A107" s="303" t="s">
        <v>118</v>
      </c>
      <c r="B107" s="304">
        <v>900</v>
      </c>
      <c r="C107" s="432" t="s">
        <v>119</v>
      </c>
      <c r="D107" s="432" t="s">
        <v>63</v>
      </c>
      <c r="E107" s="432" t="s">
        <v>120</v>
      </c>
      <c r="F107" s="397" t="s">
        <v>121</v>
      </c>
    </row>
    <row r="108" spans="1:10" ht="26.25" customHeight="1" x14ac:dyDescent="0.4">
      <c r="A108" s="305" t="s">
        <v>122</v>
      </c>
      <c r="B108" s="306">
        <v>4</v>
      </c>
      <c r="C108" s="437">
        <v>1</v>
      </c>
      <c r="D108" s="438">
        <v>5618103</v>
      </c>
      <c r="E108" s="415">
        <f t="shared" ref="E108:E113" si="3">IF(ISBLANK(D108),"-",D108/$D$103*$D$100*$B$116)</f>
        <v>161.74637925977143</v>
      </c>
      <c r="F108" s="439">
        <f t="shared" ref="F108:F113" si="4">IF(ISBLANK(D108), "-", (E108/$B$56)*100)</f>
        <v>101.09148703735715</v>
      </c>
    </row>
    <row r="109" spans="1:10" ht="26.25" customHeight="1" x14ac:dyDescent="0.4">
      <c r="A109" s="305" t="s">
        <v>95</v>
      </c>
      <c r="B109" s="306">
        <v>20</v>
      </c>
      <c r="C109" s="433">
        <v>2</v>
      </c>
      <c r="D109" s="435">
        <v>5637268</v>
      </c>
      <c r="E109" s="416">
        <f t="shared" si="3"/>
        <v>162.29814368248026</v>
      </c>
      <c r="F109" s="440">
        <f t="shared" si="4"/>
        <v>101.43633980155016</v>
      </c>
    </row>
    <row r="110" spans="1:10" ht="26.25" customHeight="1" x14ac:dyDescent="0.4">
      <c r="A110" s="305" t="s">
        <v>96</v>
      </c>
      <c r="B110" s="306">
        <v>1</v>
      </c>
      <c r="C110" s="433">
        <v>3</v>
      </c>
      <c r="D110" s="435">
        <v>5602807</v>
      </c>
      <c r="E110" s="416">
        <f t="shared" si="3"/>
        <v>161.30600416925472</v>
      </c>
      <c r="F110" s="440">
        <f t="shared" si="4"/>
        <v>100.8162526057842</v>
      </c>
    </row>
    <row r="111" spans="1:10" ht="26.25" customHeight="1" x14ac:dyDescent="0.4">
      <c r="A111" s="305" t="s">
        <v>97</v>
      </c>
      <c r="B111" s="306">
        <v>1</v>
      </c>
      <c r="C111" s="433">
        <v>4</v>
      </c>
      <c r="D111" s="435">
        <v>5621318</v>
      </c>
      <c r="E111" s="416">
        <f t="shared" si="3"/>
        <v>161.8389397929835</v>
      </c>
      <c r="F111" s="440">
        <f t="shared" si="4"/>
        <v>101.14933737061469</v>
      </c>
    </row>
    <row r="112" spans="1:10" ht="26.25" customHeight="1" x14ac:dyDescent="0.4">
      <c r="A112" s="305" t="s">
        <v>98</v>
      </c>
      <c r="B112" s="306">
        <v>1</v>
      </c>
      <c r="C112" s="433">
        <v>5</v>
      </c>
      <c r="D112" s="435">
        <v>5609602</v>
      </c>
      <c r="E112" s="416">
        <f t="shared" si="3"/>
        <v>161.50163366324404</v>
      </c>
      <c r="F112" s="440">
        <f t="shared" si="4"/>
        <v>100.93852103952752</v>
      </c>
    </row>
    <row r="113" spans="1:10" ht="27" customHeight="1" x14ac:dyDescent="0.4">
      <c r="A113" s="305" t="s">
        <v>100</v>
      </c>
      <c r="B113" s="306">
        <v>1</v>
      </c>
      <c r="C113" s="434">
        <v>6</v>
      </c>
      <c r="D113" s="436">
        <v>5618980</v>
      </c>
      <c r="E113" s="417">
        <f t="shared" si="3"/>
        <v>161.77162827614066</v>
      </c>
      <c r="F113" s="441">
        <f t="shared" si="4"/>
        <v>101.10726767258791</v>
      </c>
    </row>
    <row r="114" spans="1:10" ht="27" customHeight="1" x14ac:dyDescent="0.4">
      <c r="A114" s="305" t="s">
        <v>101</v>
      </c>
      <c r="B114" s="306">
        <v>1</v>
      </c>
      <c r="C114" s="398"/>
      <c r="D114" s="372"/>
      <c r="E114" s="279"/>
      <c r="F114" s="442"/>
    </row>
    <row r="115" spans="1:10" ht="26.25" customHeight="1" x14ac:dyDescent="0.4">
      <c r="A115" s="305" t="s">
        <v>102</v>
      </c>
      <c r="B115" s="306">
        <v>1</v>
      </c>
      <c r="C115" s="398"/>
      <c r="D115" s="420" t="s">
        <v>71</v>
      </c>
      <c r="E115" s="422">
        <f>AVERAGE(E108:E113)</f>
        <v>161.74378814064576</v>
      </c>
      <c r="F115" s="443">
        <f>AVERAGE(F108:F113)</f>
        <v>101.08986758790361</v>
      </c>
    </row>
    <row r="116" spans="1:10" ht="27" customHeight="1" x14ac:dyDescent="0.4">
      <c r="A116" s="305" t="s">
        <v>103</v>
      </c>
      <c r="B116" s="337">
        <f>(B115/B114)*(B113/B112)*(B111/B110)*(B109/B108)*B107</f>
        <v>4500</v>
      </c>
      <c r="C116" s="399"/>
      <c r="D116" s="421" t="s">
        <v>84</v>
      </c>
      <c r="E116" s="419">
        <f>STDEV(E108:E113)/E115</f>
        <v>2.0827976939952891E-3</v>
      </c>
      <c r="F116" s="400">
        <f>STDEV(F108:F113)/F115</f>
        <v>2.0827976939953008E-3</v>
      </c>
      <c r="I116" s="279"/>
    </row>
    <row r="117" spans="1:10" ht="27" customHeight="1" x14ac:dyDescent="0.4">
      <c r="A117" s="462" t="s">
        <v>78</v>
      </c>
      <c r="B117" s="463"/>
      <c r="C117" s="401"/>
      <c r="D117" s="376" t="s">
        <v>20</v>
      </c>
      <c r="E117" s="424">
        <f>COUNT(E108:E113)</f>
        <v>6</v>
      </c>
      <c r="F117" s="425">
        <f>COUNT(F108:F113)</f>
        <v>6</v>
      </c>
      <c r="I117" s="279"/>
      <c r="J117" s="394"/>
    </row>
    <row r="118" spans="1:10" ht="26.25" customHeight="1" x14ac:dyDescent="0.3">
      <c r="A118" s="464"/>
      <c r="B118" s="465"/>
      <c r="C118" s="279"/>
      <c r="D118" s="423"/>
      <c r="E118" s="490" t="s">
        <v>123</v>
      </c>
      <c r="F118" s="491"/>
      <c r="G118" s="279"/>
      <c r="H118" s="279"/>
      <c r="I118" s="279"/>
    </row>
    <row r="119" spans="1:10" ht="25.5" customHeight="1" x14ac:dyDescent="0.4">
      <c r="A119" s="410"/>
      <c r="B119" s="301"/>
      <c r="C119" s="279"/>
      <c r="D119" s="421" t="s">
        <v>124</v>
      </c>
      <c r="E119" s="426">
        <f>MIN(E108:E113)</f>
        <v>161.30600416925472</v>
      </c>
      <c r="F119" s="444">
        <f>MIN(F108:F113)</f>
        <v>100.8162526057842</v>
      </c>
      <c r="G119" s="279"/>
      <c r="H119" s="279"/>
      <c r="I119" s="279"/>
    </row>
    <row r="120" spans="1:10" ht="24" customHeight="1" x14ac:dyDescent="0.4">
      <c r="A120" s="410"/>
      <c r="B120" s="301"/>
      <c r="C120" s="279"/>
      <c r="D120" s="348" t="s">
        <v>125</v>
      </c>
      <c r="E120" s="427">
        <f>MAX(E108:E113)</f>
        <v>162.29814368248026</v>
      </c>
      <c r="F120" s="445">
        <f>MAX(F108:F113)</f>
        <v>101.43633980155016</v>
      </c>
      <c r="G120" s="279"/>
      <c r="H120" s="279"/>
      <c r="I120" s="279"/>
    </row>
    <row r="121" spans="1:10" ht="27" customHeight="1" x14ac:dyDescent="0.3">
      <c r="A121" s="410"/>
      <c r="B121" s="301"/>
      <c r="C121" s="279"/>
      <c r="D121" s="279"/>
      <c r="E121" s="279"/>
      <c r="F121" s="372"/>
      <c r="G121" s="279"/>
      <c r="H121" s="279"/>
      <c r="I121" s="279"/>
    </row>
    <row r="122" spans="1:10" ht="25.5" customHeight="1" x14ac:dyDescent="0.3">
      <c r="A122" s="410"/>
      <c r="B122" s="301"/>
      <c r="C122" s="279"/>
      <c r="D122" s="279"/>
      <c r="E122" s="279"/>
      <c r="F122" s="372"/>
      <c r="G122" s="279"/>
      <c r="H122" s="279"/>
      <c r="I122" s="279"/>
    </row>
    <row r="123" spans="1:10" ht="18.75" x14ac:dyDescent="0.3">
      <c r="A123" s="410"/>
      <c r="B123" s="301"/>
      <c r="C123" s="279"/>
      <c r="D123" s="279"/>
      <c r="E123" s="279"/>
      <c r="F123" s="372"/>
      <c r="G123" s="279"/>
      <c r="H123" s="279"/>
      <c r="I123" s="279"/>
    </row>
    <row r="124" spans="1:10" ht="45.75" customHeight="1" x14ac:dyDescent="0.65">
      <c r="A124" s="289" t="s">
        <v>106</v>
      </c>
      <c r="B124" s="377" t="s">
        <v>126</v>
      </c>
      <c r="C124" s="466" t="str">
        <f>B26</f>
        <v>trimethoprim</v>
      </c>
      <c r="D124" s="466"/>
      <c r="E124" s="378" t="s">
        <v>127</v>
      </c>
      <c r="F124" s="378"/>
      <c r="G124" s="446">
        <f>F115</f>
        <v>101.08986758790361</v>
      </c>
      <c r="H124" s="279"/>
      <c r="I124" s="279"/>
    </row>
    <row r="125" spans="1:10" ht="45.75" customHeight="1" x14ac:dyDescent="0.65">
      <c r="A125" s="289"/>
      <c r="B125" s="377" t="s">
        <v>128</v>
      </c>
      <c r="C125" s="290" t="s">
        <v>129</v>
      </c>
      <c r="D125" s="513">
        <f>MIN(F108:F113)</f>
        <v>100.8162526057842</v>
      </c>
      <c r="E125" s="386" t="s">
        <v>130</v>
      </c>
      <c r="F125" s="513">
        <f>MAX(F108:F113)</f>
        <v>101.43633980155016</v>
      </c>
      <c r="G125" s="379"/>
      <c r="H125" s="279"/>
      <c r="I125" s="279"/>
    </row>
    <row r="126" spans="1:10" ht="19.5" customHeight="1" x14ac:dyDescent="0.3">
      <c r="A126" s="402"/>
      <c r="B126" s="402"/>
      <c r="C126" s="403"/>
      <c r="D126" s="403"/>
      <c r="E126" s="403"/>
      <c r="F126" s="403"/>
      <c r="G126" s="403"/>
      <c r="H126" s="403"/>
    </row>
    <row r="127" spans="1:10" ht="18.75" x14ac:dyDescent="0.3">
      <c r="B127" s="467" t="s">
        <v>26</v>
      </c>
      <c r="C127" s="467"/>
      <c r="E127" s="382" t="s">
        <v>27</v>
      </c>
      <c r="F127" s="404"/>
      <c r="G127" s="467" t="s">
        <v>28</v>
      </c>
      <c r="H127" s="467"/>
    </row>
    <row r="128" spans="1:10" ht="69.95" customHeight="1" x14ac:dyDescent="0.3">
      <c r="A128" s="405" t="s">
        <v>29</v>
      </c>
      <c r="B128" s="406"/>
      <c r="C128" s="406"/>
      <c r="E128" s="406"/>
      <c r="F128" s="279"/>
      <c r="G128" s="407"/>
      <c r="H128" s="407"/>
    </row>
    <row r="129" spans="1:9" ht="69.95" customHeight="1" x14ac:dyDescent="0.3">
      <c r="A129" s="405" t="s">
        <v>30</v>
      </c>
      <c r="B129" s="408"/>
      <c r="C129" s="408"/>
      <c r="E129" s="408"/>
      <c r="F129" s="279"/>
      <c r="G129" s="409"/>
      <c r="H129" s="409"/>
    </row>
    <row r="130" spans="1:9" ht="18.75" x14ac:dyDescent="0.3">
      <c r="A130" s="371"/>
      <c r="B130" s="371"/>
      <c r="C130" s="372"/>
      <c r="D130" s="372"/>
      <c r="E130" s="372"/>
      <c r="F130" s="375"/>
      <c r="G130" s="372"/>
      <c r="H130" s="372"/>
      <c r="I130" s="279"/>
    </row>
    <row r="131" spans="1:9" ht="18.75" x14ac:dyDescent="0.3">
      <c r="A131" s="371"/>
      <c r="B131" s="371"/>
      <c r="C131" s="372"/>
      <c r="D131" s="372"/>
      <c r="E131" s="372"/>
      <c r="F131" s="375"/>
      <c r="G131" s="372"/>
      <c r="H131" s="372"/>
      <c r="I131" s="279"/>
    </row>
    <row r="132" spans="1:9" ht="18.75" x14ac:dyDescent="0.3">
      <c r="A132" s="371"/>
      <c r="B132" s="371"/>
      <c r="C132" s="372"/>
      <c r="D132" s="372"/>
      <c r="E132" s="372"/>
      <c r="F132" s="375"/>
      <c r="G132" s="372"/>
      <c r="H132" s="372"/>
      <c r="I132" s="279"/>
    </row>
    <row r="133" spans="1:9" ht="18.75" x14ac:dyDescent="0.3">
      <c r="A133" s="371"/>
      <c r="B133" s="371"/>
      <c r="C133" s="372"/>
      <c r="D133" s="372"/>
      <c r="E133" s="372"/>
      <c r="F133" s="375"/>
      <c r="G133" s="372"/>
      <c r="H133" s="372"/>
      <c r="I133" s="279"/>
    </row>
    <row r="134" spans="1:9" ht="18.75" x14ac:dyDescent="0.3">
      <c r="A134" s="371"/>
      <c r="B134" s="371"/>
      <c r="C134" s="372"/>
      <c r="D134" s="372"/>
      <c r="E134" s="372"/>
      <c r="F134" s="375"/>
      <c r="G134" s="372"/>
      <c r="H134" s="372"/>
      <c r="I134" s="279"/>
    </row>
    <row r="135" spans="1:9" ht="18.75" x14ac:dyDescent="0.3">
      <c r="A135" s="371"/>
      <c r="B135" s="371"/>
      <c r="C135" s="372"/>
      <c r="D135" s="372"/>
      <c r="E135" s="372"/>
      <c r="F135" s="375"/>
      <c r="G135" s="372"/>
      <c r="H135" s="372"/>
      <c r="I135" s="279"/>
    </row>
    <row r="136" spans="1:9" ht="18.75" x14ac:dyDescent="0.3">
      <c r="A136" s="371"/>
      <c r="B136" s="371"/>
      <c r="C136" s="372"/>
      <c r="D136" s="372"/>
      <c r="E136" s="372"/>
      <c r="F136" s="375"/>
      <c r="G136" s="372"/>
      <c r="H136" s="372"/>
      <c r="I136" s="279"/>
    </row>
    <row r="137" spans="1:9" ht="18.75" x14ac:dyDescent="0.3">
      <c r="A137" s="371"/>
      <c r="B137" s="371"/>
      <c r="C137" s="372"/>
      <c r="D137" s="372"/>
      <c r="E137" s="372"/>
      <c r="F137" s="375"/>
      <c r="G137" s="372"/>
      <c r="H137" s="372"/>
      <c r="I137" s="279"/>
    </row>
    <row r="138" spans="1:9" ht="18.75" x14ac:dyDescent="0.3">
      <c r="A138" s="371"/>
      <c r="B138" s="371"/>
      <c r="C138" s="372"/>
      <c r="D138" s="372"/>
      <c r="E138" s="372"/>
      <c r="F138" s="375"/>
      <c r="G138" s="372"/>
      <c r="H138" s="372"/>
      <c r="I138" s="279"/>
    </row>
    <row r="250" spans="1:1" x14ac:dyDescent="0.25">
      <c r="A250" s="2">
        <v>0</v>
      </c>
    </row>
  </sheetData>
  <sheetProtection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D104">
    <cfRule type="cellIs" dxfId="14" priority="5" operator="greaterThan">
      <formula>0.02</formula>
    </cfRule>
  </conditionalFormatting>
  <conditionalFormatting sqref="I39">
    <cfRule type="cellIs" dxfId="13" priority="6" operator="lessThanOrEqual">
      <formula>0.02</formula>
    </cfRule>
  </conditionalFormatting>
  <conditionalFormatting sqref="I39">
    <cfRule type="cellIs" dxfId="12" priority="7" operator="greaterThan">
      <formula>0.02</formula>
    </cfRule>
  </conditionalFormatting>
  <conditionalFormatting sqref="I92">
    <cfRule type="cellIs" dxfId="11" priority="8" operator="lessThanOrEqual">
      <formula>0.02</formula>
    </cfRule>
  </conditionalFormatting>
  <conditionalFormatting sqref="I92">
    <cfRule type="cellIs" dxfId="1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14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40" workbookViewId="0">
      <selection activeCell="B20" sqref="B20"/>
    </sheetView>
  </sheetViews>
  <sheetFormatPr defaultRowHeight="13.5" x14ac:dyDescent="0.25"/>
  <cols>
    <col min="1" max="1" width="27.5703125" style="389" customWidth="1"/>
    <col min="2" max="2" width="20.42578125" style="389" customWidth="1"/>
    <col min="3" max="3" width="31.85546875" style="389" customWidth="1"/>
    <col min="4" max="4" width="25.85546875" style="389" customWidth="1"/>
    <col min="5" max="5" width="25.7109375" style="389" customWidth="1"/>
    <col min="6" max="6" width="23.140625" style="389" customWidth="1"/>
    <col min="7" max="7" width="28.42578125" style="389" customWidth="1"/>
    <col min="8" max="8" width="21.5703125" style="389" customWidth="1"/>
    <col min="9" max="9" width="9.140625" style="38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50" t="s">
        <v>0</v>
      </c>
      <c r="B15" s="450"/>
      <c r="C15" s="450"/>
      <c r="D15" s="450"/>
      <c r="E15" s="45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C17" s="72"/>
      <c r="D17" s="9"/>
      <c r="E17" s="72"/>
    </row>
    <row r="18" spans="1:5" ht="16.5" customHeight="1" x14ac:dyDescent="0.3">
      <c r="A18" s="75" t="s">
        <v>4</v>
      </c>
      <c r="B18" s="448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135</v>
      </c>
      <c r="C19" s="72"/>
      <c r="D19" s="72"/>
      <c r="E19" s="72"/>
    </row>
    <row r="20" spans="1:5" ht="16.5" customHeight="1" x14ac:dyDescent="0.3">
      <c r="A20" s="8" t="s">
        <v>8</v>
      </c>
      <c r="B20" s="12">
        <v>19.66</v>
      </c>
      <c r="C20" s="72"/>
      <c r="D20" s="72"/>
      <c r="E20" s="72"/>
    </row>
    <row r="21" spans="1:5" ht="16.5" customHeight="1" x14ac:dyDescent="0.3">
      <c r="A21" s="8" t="s">
        <v>10</v>
      </c>
      <c r="B21" s="449">
        <f>19.66/25*4/100</f>
        <v>3.1455999999999998E-2</v>
      </c>
      <c r="C21" s="72"/>
      <c r="D21" s="72"/>
      <c r="E21" s="72"/>
    </row>
    <row r="22" spans="1:5" ht="15.75" customHeight="1" x14ac:dyDescent="0.3">
      <c r="A22" s="72"/>
      <c r="B22" s="449">
        <f>19.66/25*4/100</f>
        <v>3.1455999999999998E-2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4878606</v>
      </c>
      <c r="C24" s="18">
        <v>9027.1</v>
      </c>
      <c r="D24" s="19">
        <v>1.1000000000000001</v>
      </c>
      <c r="E24" s="20">
        <v>5.3</v>
      </c>
    </row>
    <row r="25" spans="1:5" ht="16.5" customHeight="1" x14ac:dyDescent="0.3">
      <c r="A25" s="17">
        <v>2</v>
      </c>
      <c r="B25" s="18">
        <v>4825829</v>
      </c>
      <c r="C25" s="18">
        <v>9055.2999999999993</v>
      </c>
      <c r="D25" s="19">
        <v>1.1000000000000001</v>
      </c>
      <c r="E25" s="19">
        <v>5.3</v>
      </c>
    </row>
    <row r="26" spans="1:5" ht="16.5" customHeight="1" x14ac:dyDescent="0.3">
      <c r="A26" s="17">
        <v>3</v>
      </c>
      <c r="B26" s="18">
        <v>4858567</v>
      </c>
      <c r="C26" s="18">
        <v>9006.6</v>
      </c>
      <c r="D26" s="19">
        <v>1.1000000000000001</v>
      </c>
      <c r="E26" s="19">
        <v>5.3</v>
      </c>
    </row>
    <row r="27" spans="1:5" ht="16.5" customHeight="1" x14ac:dyDescent="0.3">
      <c r="A27" s="17">
        <v>4</v>
      </c>
      <c r="B27" s="18">
        <v>4872946</v>
      </c>
      <c r="C27" s="18">
        <v>8972.2000000000007</v>
      </c>
      <c r="D27" s="19">
        <v>1.1000000000000001</v>
      </c>
      <c r="E27" s="19">
        <v>5.3</v>
      </c>
    </row>
    <row r="28" spans="1:5" ht="16.5" customHeight="1" x14ac:dyDescent="0.3">
      <c r="A28" s="17">
        <v>5</v>
      </c>
      <c r="B28" s="18">
        <v>4872334</v>
      </c>
      <c r="C28" s="18">
        <v>8987.2000000000007</v>
      </c>
      <c r="D28" s="19">
        <v>1.1000000000000001</v>
      </c>
      <c r="E28" s="19">
        <v>5.3</v>
      </c>
    </row>
    <row r="29" spans="1:5" ht="16.5" customHeight="1" x14ac:dyDescent="0.3">
      <c r="A29" s="17">
        <v>6</v>
      </c>
      <c r="B29" s="21">
        <v>4862797</v>
      </c>
      <c r="C29" s="21">
        <v>9037.6</v>
      </c>
      <c r="D29" s="22">
        <v>1.1000000000000001</v>
      </c>
      <c r="E29" s="22">
        <v>5.3</v>
      </c>
    </row>
    <row r="30" spans="1:5" ht="16.5" customHeight="1" x14ac:dyDescent="0.3">
      <c r="A30" s="23" t="s">
        <v>18</v>
      </c>
      <c r="B30" s="24">
        <f>AVERAGE(B24:B29)</f>
        <v>4861846.5</v>
      </c>
      <c r="C30" s="25">
        <f>AVERAGE(C24:C29)</f>
        <v>9014.3333333333321</v>
      </c>
      <c r="D30" s="26">
        <f>AVERAGE(D24:D29)</f>
        <v>1.0999999999999999</v>
      </c>
      <c r="E30" s="26">
        <f>AVERAGE(E24:E29)</f>
        <v>5.3</v>
      </c>
    </row>
    <row r="31" spans="1:5" ht="16.5" customHeight="1" x14ac:dyDescent="0.3">
      <c r="A31" s="27" t="s">
        <v>19</v>
      </c>
      <c r="B31" s="28">
        <f>(STDEV(B24:B29)/B30)</f>
        <v>3.9274028785402813E-3</v>
      </c>
      <c r="C31" s="29"/>
      <c r="D31" s="29"/>
      <c r="E31" s="30"/>
    </row>
    <row r="32" spans="1:5" s="389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389" customFormat="1" ht="15.75" customHeight="1" x14ac:dyDescent="0.25">
      <c r="A33" s="72"/>
      <c r="B33" s="72"/>
      <c r="C33" s="72"/>
      <c r="D33" s="72"/>
      <c r="E33" s="72"/>
    </row>
    <row r="34" spans="1:5" s="389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448" t="s">
        <v>133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</v>
      </c>
      <c r="C40" s="72"/>
      <c r="D40" s="72"/>
      <c r="E40" s="72"/>
    </row>
    <row r="41" spans="1:5" ht="16.5" customHeight="1" x14ac:dyDescent="0.3">
      <c r="A41" s="8" t="s">
        <v>8</v>
      </c>
      <c r="B41" s="12">
        <v>19.66</v>
      </c>
      <c r="C41" s="72"/>
      <c r="D41" s="72"/>
      <c r="E41" s="72"/>
    </row>
    <row r="42" spans="1:5" ht="16.5" customHeight="1" x14ac:dyDescent="0.3">
      <c r="A42" s="8" t="s">
        <v>10</v>
      </c>
      <c r="B42" s="449">
        <f>19.66/25*4/100</f>
        <v>3.1455999999999998E-2</v>
      </c>
      <c r="C42" s="72"/>
      <c r="D42" s="72"/>
      <c r="E42" s="72"/>
    </row>
    <row r="43" spans="1:5" ht="15.75" customHeight="1" x14ac:dyDescent="0.3">
      <c r="A43" s="72"/>
      <c r="B43" s="449">
        <f>19.66/25*4/100</f>
        <v>3.1455999999999998E-2</v>
      </c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4878606</v>
      </c>
      <c r="C45" s="18">
        <v>9027.1</v>
      </c>
      <c r="D45" s="19">
        <v>1.1000000000000001</v>
      </c>
      <c r="E45" s="20">
        <v>5.3</v>
      </c>
    </row>
    <row r="46" spans="1:5" ht="16.5" customHeight="1" x14ac:dyDescent="0.3">
      <c r="A46" s="17">
        <v>2</v>
      </c>
      <c r="B46" s="18">
        <v>4825829</v>
      </c>
      <c r="C46" s="18">
        <v>9055.2999999999993</v>
      </c>
      <c r="D46" s="19">
        <v>1.1000000000000001</v>
      </c>
      <c r="E46" s="19">
        <v>5.3</v>
      </c>
    </row>
    <row r="47" spans="1:5" ht="16.5" customHeight="1" x14ac:dyDescent="0.3">
      <c r="A47" s="17">
        <v>3</v>
      </c>
      <c r="B47" s="18">
        <v>4858567</v>
      </c>
      <c r="C47" s="18">
        <v>9006.6</v>
      </c>
      <c r="D47" s="19">
        <v>1.1000000000000001</v>
      </c>
      <c r="E47" s="19">
        <v>5.3</v>
      </c>
    </row>
    <row r="48" spans="1:5" ht="16.5" customHeight="1" x14ac:dyDescent="0.3">
      <c r="A48" s="17">
        <v>4</v>
      </c>
      <c r="B48" s="18">
        <v>4872946</v>
      </c>
      <c r="C48" s="18">
        <v>8972.2000000000007</v>
      </c>
      <c r="D48" s="19">
        <v>1.1000000000000001</v>
      </c>
      <c r="E48" s="19">
        <v>5.3</v>
      </c>
    </row>
    <row r="49" spans="1:7" ht="16.5" customHeight="1" x14ac:dyDescent="0.3">
      <c r="A49" s="17">
        <v>5</v>
      </c>
      <c r="B49" s="18">
        <v>4872334</v>
      </c>
      <c r="C49" s="18">
        <v>8987.2000000000007</v>
      </c>
      <c r="D49" s="19">
        <v>1.1000000000000001</v>
      </c>
      <c r="E49" s="19">
        <v>5.3</v>
      </c>
    </row>
    <row r="50" spans="1:7" ht="16.5" customHeight="1" x14ac:dyDescent="0.3">
      <c r="A50" s="17">
        <v>6</v>
      </c>
      <c r="B50" s="21">
        <v>4862797</v>
      </c>
      <c r="C50" s="21">
        <v>9037.6</v>
      </c>
      <c r="D50" s="22">
        <v>1.1000000000000001</v>
      </c>
      <c r="E50" s="22">
        <v>5.3</v>
      </c>
    </row>
    <row r="51" spans="1:7" ht="16.5" customHeight="1" x14ac:dyDescent="0.3">
      <c r="A51" s="23" t="s">
        <v>18</v>
      </c>
      <c r="B51" s="24">
        <f>AVERAGE(B45:B50)</f>
        <v>4861846.5</v>
      </c>
      <c r="C51" s="25">
        <f>AVERAGE(C45:C50)</f>
        <v>9014.3333333333321</v>
      </c>
      <c r="D51" s="26">
        <f>AVERAGE(D45:D50)</f>
        <v>1.0999999999999999</v>
      </c>
      <c r="E51" s="26">
        <f>AVERAGE(E45:E50)</f>
        <v>5.3</v>
      </c>
    </row>
    <row r="52" spans="1:7" ht="16.5" customHeight="1" x14ac:dyDescent="0.3">
      <c r="A52" s="27" t="s">
        <v>19</v>
      </c>
      <c r="B52" s="28">
        <f>(STDEV(B45:B50)/B51)</f>
        <v>3.9274028785402813E-3</v>
      </c>
      <c r="C52" s="29"/>
      <c r="D52" s="29"/>
      <c r="E52" s="30"/>
    </row>
    <row r="53" spans="1:7" s="389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389" customFormat="1" ht="15.75" customHeight="1" x14ac:dyDescent="0.25">
      <c r="A54" s="72"/>
      <c r="B54" s="72"/>
      <c r="C54" s="72"/>
      <c r="D54" s="72"/>
      <c r="E54" s="72"/>
    </row>
    <row r="55" spans="1:7" s="389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1"/>
      <c r="D58" s="43"/>
      <c r="F58" s="44"/>
      <c r="G58" s="44"/>
    </row>
    <row r="59" spans="1:7" ht="15" customHeight="1" x14ac:dyDescent="0.3">
      <c r="B59" s="451" t="s">
        <v>26</v>
      </c>
      <c r="C59" s="45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sulfa sst</vt:lpstr>
      <vt:lpstr>Uniformity</vt:lpstr>
      <vt:lpstr>sulfamethoxazole</vt:lpstr>
      <vt:lpstr>trimethoprim</vt:lpstr>
      <vt:lpstr>trimsst</vt:lpstr>
      <vt:lpstr>'sulfa sst'!Print_Area</vt:lpstr>
      <vt:lpstr>sulfamethoxazole!Print_Area</vt:lpstr>
      <vt:lpstr>trimethoprim!Print_Area</vt:lpstr>
      <vt:lpstr>trimsst!Print_Area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2018-03-07T08:22:47Z</cp:lastPrinted>
  <dcterms:created xsi:type="dcterms:W3CDTF">2005-07-05T10:19:27Z</dcterms:created>
  <dcterms:modified xsi:type="dcterms:W3CDTF">2018-03-07T08:41:46Z</dcterms:modified>
</cp:coreProperties>
</file>