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7365" activeTab="4"/>
  </bookViews>
  <sheets>
    <sheet name="sulfa sst" sheetId="1" r:id="rId1"/>
    <sheet name="Uniformity" sheetId="2" r:id="rId2"/>
    <sheet name="sulfamethoxazole" sheetId="3" r:id="rId3"/>
    <sheet name="trimethoprim" sheetId="4" r:id="rId4"/>
    <sheet name="trim sst" sheetId="6" r:id="rId5"/>
  </sheets>
  <definedNames>
    <definedName name="_xlnm.Print_Area" localSheetId="0">'sulfa sst'!$A$15:$G$63</definedName>
    <definedName name="_xlnm.Print_Area" localSheetId="2">sulfamethoxazole!$A$1:$I$131</definedName>
    <definedName name="_xlnm.Print_Area" localSheetId="4">'trim sst'!$A$15:$G$63</definedName>
    <definedName name="_xlnm.Print_Area" localSheetId="3">trimethoprim!$A$1:$I$130</definedName>
    <definedName name="_xlnm.Print_Area" localSheetId="1">Uniformity!$A$11:$F$55</definedName>
  </definedNames>
  <calcPr calcId="145621"/>
</workbook>
</file>

<file path=xl/calcChain.xml><?xml version="1.0" encoding="utf-8"?>
<calcChain xmlns="http://schemas.openxmlformats.org/spreadsheetml/2006/main">
  <c r="B42" i="6" l="1"/>
  <c r="B21" i="6"/>
  <c r="B42" i="1"/>
  <c r="B21" i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G38" i="4"/>
  <c r="B34" i="4"/>
  <c r="D44" i="4" s="1"/>
  <c r="B30" i="4"/>
  <c r="C124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D45" i="3" s="1"/>
  <c r="B30" i="3"/>
  <c r="D49" i="2"/>
  <c r="C49" i="2"/>
  <c r="C46" i="2"/>
  <c r="B57" i="4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45" i="4"/>
  <c r="D46" i="4" s="1"/>
  <c r="D98" i="4"/>
  <c r="D99" i="4" s="1"/>
  <c r="F44" i="4"/>
  <c r="F45" i="4" s="1"/>
  <c r="F46" i="4" s="1"/>
  <c r="D49" i="4"/>
  <c r="F97" i="4"/>
  <c r="F98" i="4" s="1"/>
  <c r="F99" i="4" s="1"/>
  <c r="D46" i="3"/>
  <c r="B69" i="3"/>
  <c r="D101" i="3"/>
  <c r="D102" i="3" s="1"/>
  <c r="D101" i="4"/>
  <c r="D102" i="4" s="1"/>
  <c r="I39" i="4"/>
  <c r="I39" i="3"/>
  <c r="G92" i="4"/>
  <c r="G93" i="4"/>
  <c r="G91" i="4"/>
  <c r="D49" i="3"/>
  <c r="E40" i="3"/>
  <c r="G38" i="3"/>
  <c r="E38" i="3"/>
  <c r="E41" i="3"/>
  <c r="E39" i="3"/>
  <c r="E92" i="4"/>
  <c r="E93" i="4"/>
  <c r="F98" i="3"/>
  <c r="F99" i="3" s="1"/>
  <c r="G93" i="3"/>
  <c r="G91" i="3"/>
  <c r="G94" i="3"/>
  <c r="E39" i="4"/>
  <c r="E40" i="4"/>
  <c r="E38" i="4"/>
  <c r="E41" i="4"/>
  <c r="B69" i="4"/>
  <c r="G94" i="4"/>
  <c r="F44" i="3"/>
  <c r="F45" i="3" s="1"/>
  <c r="F46" i="3" s="1"/>
  <c r="G41" i="4"/>
  <c r="D97" i="3"/>
  <c r="D98" i="3" s="1"/>
  <c r="D99" i="3" s="1"/>
  <c r="G40" i="4"/>
  <c r="E94" i="4"/>
  <c r="D25" i="2"/>
  <c r="D29" i="2"/>
  <c r="D33" i="2"/>
  <c r="D37" i="2"/>
  <c r="D41" i="2"/>
  <c r="C50" i="2"/>
  <c r="D26" i="2"/>
  <c r="D30" i="2"/>
  <c r="D34" i="2"/>
  <c r="D38" i="2"/>
  <c r="D42" i="2"/>
  <c r="B49" i="2"/>
  <c r="D50" i="2"/>
  <c r="G39" i="4"/>
  <c r="E91" i="4"/>
  <c r="G92" i="3" l="1"/>
  <c r="G95" i="3" s="1"/>
  <c r="G42" i="4"/>
  <c r="G95" i="4"/>
  <c r="E91" i="3"/>
  <c r="E92" i="3"/>
  <c r="G40" i="3"/>
  <c r="G41" i="3"/>
  <c r="D50" i="4"/>
  <c r="E42" i="4"/>
  <c r="D52" i="4"/>
  <c r="G39" i="3"/>
  <c r="D103" i="4"/>
  <c r="E95" i="4"/>
  <c r="D105" i="4"/>
  <c r="E94" i="3"/>
  <c r="E93" i="3"/>
  <c r="E42" i="3"/>
  <c r="G42" i="3" l="1"/>
  <c r="D50" i="3"/>
  <c r="D51" i="3" s="1"/>
  <c r="D52" i="3"/>
  <c r="G68" i="3"/>
  <c r="H68" i="3" s="1"/>
  <c r="G64" i="3"/>
  <c r="H64" i="3" s="1"/>
  <c r="G71" i="3"/>
  <c r="H71" i="3" s="1"/>
  <c r="G69" i="3"/>
  <c r="H69" i="3" s="1"/>
  <c r="G66" i="3"/>
  <c r="H66" i="3" s="1"/>
  <c r="G62" i="3"/>
  <c r="H62" i="3" s="1"/>
  <c r="G60" i="3"/>
  <c r="G70" i="3"/>
  <c r="H70" i="3" s="1"/>
  <c r="G67" i="3"/>
  <c r="H67" i="3" s="1"/>
  <c r="G65" i="3"/>
  <c r="H65" i="3" s="1"/>
  <c r="G63" i="3"/>
  <c r="H63" i="3" s="1"/>
  <c r="G61" i="3"/>
  <c r="H61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95" i="3"/>
  <c r="D105" i="3"/>
  <c r="D103" i="3"/>
  <c r="H60" i="3" l="1"/>
  <c r="G74" i="3"/>
  <c r="G72" i="3"/>
  <c r="G73" i="3" s="1"/>
  <c r="G74" i="4"/>
  <c r="G72" i="4"/>
  <c r="G73" i="4" s="1"/>
  <c r="H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20" i="4"/>
  <c r="E117" i="4"/>
  <c r="F108" i="4"/>
  <c r="E115" i="4"/>
  <c r="E116" i="4" s="1"/>
  <c r="E119" i="4"/>
  <c r="H74" i="4" l="1"/>
  <c r="H72" i="4"/>
  <c r="E115" i="3"/>
  <c r="E116" i="3" s="1"/>
  <c r="E119" i="3"/>
  <c r="E120" i="3"/>
  <c r="E117" i="3"/>
  <c r="F108" i="3"/>
  <c r="H74" i="3"/>
  <c r="H72" i="3"/>
  <c r="F125" i="4"/>
  <c r="F120" i="4"/>
  <c r="F117" i="4"/>
  <c r="D125" i="4"/>
  <c r="F115" i="4"/>
  <c r="F119" i="4"/>
  <c r="G76" i="4" l="1"/>
  <c r="H73" i="4"/>
  <c r="G76" i="3"/>
  <c r="H73" i="3"/>
  <c r="G124" i="4"/>
  <c r="F116" i="4"/>
  <c r="F119" i="3"/>
  <c r="F125" i="3"/>
  <c r="F120" i="3"/>
  <c r="F117" i="3"/>
  <c r="D125" i="3"/>
  <c r="F115" i="3"/>
  <c r="G124" i="3" l="1"/>
  <c r="F116" i="3"/>
</calcChain>
</file>

<file path=xl/sharedStrings.xml><?xml version="1.0" encoding="utf-8"?>
<sst xmlns="http://schemas.openxmlformats.org/spreadsheetml/2006/main" count="454" uniqueCount="136">
  <si>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</si>
  <si>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</si>
  <si>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</si>
  <si>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</si>
  <si>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</si>
  <si>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</si>
  <si>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</si>
  <si>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NDQB201802328</t>
  </si>
  <si>
    <t>Weight (mg):</t>
  </si>
  <si>
    <t>Sulfamethoxazole BP 800 mg &amp; Trimethoprim BP 160 mg</t>
  </si>
  <si>
    <t>Standard Conc (mg/mL):</t>
  </si>
  <si>
    <t>Each tablet contains: Sulfamethoxazole BP 800 mg and Trimethoprim BP 160 mg.</t>
  </si>
  <si>
    <t>2018-02-22 14:24:20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</si>
  <si>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</si>
  <si>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</si>
  <si>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</si>
  <si>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</si>
  <si>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</si>
  <si>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</si>
  <si>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</si>
  <si>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</si>
  <si>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</si>
  <si>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</si>
  <si>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</si>
  <si>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</si>
  <si>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</si>
  <si>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</si>
  <si>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</si>
  <si>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</si>
  <si>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</si>
  <si>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</si>
  <si>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</si>
  <si>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</si>
  <si>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</si>
  <si>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</si>
  <si>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</si>
  <si>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</si>
  <si>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</si>
  <si>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</si>
  <si>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</si>
  <si>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</si>
  <si>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</si>
  <si>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</si>
  <si>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</si>
  <si>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</si>
  <si>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</si>
  <si>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</si>
  <si>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</si>
  <si>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</si>
  <si>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</si>
  <si>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</si>
  <si>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</si>
  <si>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</si>
  <si>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</si>
  <si>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</si>
  <si>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</si>
  <si>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</si>
  <si>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</si>
  <si>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</si>
  <si>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</si>
  <si>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</si>
  <si>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</si>
  <si>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</si>
  <si>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</si>
  <si>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</si>
  <si>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</si>
  <si>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</si>
  <si>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</si>
  <si>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</si>
  <si>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</si>
  <si>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</si>
  <si>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</si>
  <si>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</si>
  <si>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</si>
  <si>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</si>
  <si>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</si>
  <si>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</si>
  <si>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</si>
  <si>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</si>
  <si>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</si>
  <si>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</si>
  <si>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</si>
  <si>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</si>
  <si>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</si>
  <si>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</si>
  <si>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</si>
  <si>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</si>
  <si>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</si>
  <si>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</si>
  <si>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</si>
  <si>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</si>
  <si>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</si>
  <si>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</si>
  <si>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</si>
  <si>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</si>
  <si>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</si>
  <si>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</si>
  <si>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</si>
  <si>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</si>
  <si>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</si>
  <si>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</si>
  <si>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</si>
  <si>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</si>
  <si>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</si>
  <si>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</si>
  <si>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</si>
  <si>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</si>
  <si>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</si>
  <si>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</si>
  <si>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</si>
  <si>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</si>
  <si>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</si>
  <si>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</si>
  <si>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</si>
  <si>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</si>
  <si>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</si>
  <si>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</si>
  <si>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</si>
  <si>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</si>
  <si>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</si>
  <si>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</si>
  <si>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</si>
  <si>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</si>
  <si>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</si>
  <si>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</si>
  <si>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</si>
  <si>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</si>
  <si>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</si>
  <si>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</si>
  <si>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</si>
  <si>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</si>
  <si>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</si>
  <si>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s12-6</t>
  </si>
  <si>
    <t>trimethoprim</t>
  </si>
  <si>
    <t>t7-4</t>
  </si>
  <si>
    <t>2018-02-22 14:22:23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</si>
</sst>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164" fontId="25" fillId="2" borderId="0" xfId="0" applyNumberFormat="1" applyFont="1" applyFill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5" zoomScale="60" zoomScaleNormal="60" workbookViewId="0">
      <selection activeCell="A15" sqref="A15:G6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524" t="s">
        <v>131</v>
      </c>
      <c r="C18" s="72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72"/>
      <c r="D19" s="10"/>
      <c r="E19" s="10"/>
    </row>
    <row r="20" spans="1:6" ht="16.5" customHeight="1" x14ac:dyDescent="0.3">
      <c r="A20" s="7" t="s">
        <v>8</v>
      </c>
      <c r="B20" s="12">
        <v>17.059999999999999</v>
      </c>
      <c r="C20" s="72"/>
      <c r="D20" s="10"/>
      <c r="E20" s="10"/>
    </row>
    <row r="21" spans="1:6" ht="16.5" customHeight="1" x14ac:dyDescent="0.3">
      <c r="A21" s="7" t="s">
        <v>10</v>
      </c>
      <c r="B21" s="13">
        <f>17.06/100</f>
        <v>0.17059999999999997</v>
      </c>
      <c r="C21" s="72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73665751</v>
      </c>
      <c r="C24" s="18">
        <v>13561.9</v>
      </c>
      <c r="D24" s="19">
        <v>1</v>
      </c>
      <c r="E24" s="20">
        <v>12.7</v>
      </c>
    </row>
    <row r="25" spans="1:6" ht="16.5" customHeight="1" x14ac:dyDescent="0.3">
      <c r="A25" s="17">
        <v>2</v>
      </c>
      <c r="B25" s="18">
        <v>72883611</v>
      </c>
      <c r="C25" s="18">
        <v>13651.6</v>
      </c>
      <c r="D25" s="19">
        <v>1</v>
      </c>
      <c r="E25" s="19">
        <v>12.7</v>
      </c>
    </row>
    <row r="26" spans="1:6" ht="16.5" customHeight="1" x14ac:dyDescent="0.3">
      <c r="A26" s="17">
        <v>3</v>
      </c>
      <c r="B26" s="18">
        <v>73385983</v>
      </c>
      <c r="C26" s="18">
        <v>13601.2</v>
      </c>
      <c r="D26" s="19">
        <v>1.1000000000000001</v>
      </c>
      <c r="E26" s="19">
        <v>12.7</v>
      </c>
    </row>
    <row r="27" spans="1:6" ht="16.5" customHeight="1" x14ac:dyDescent="0.3">
      <c r="A27" s="17">
        <v>4</v>
      </c>
      <c r="B27" s="18">
        <v>73621845</v>
      </c>
      <c r="C27" s="18">
        <v>13532.5</v>
      </c>
      <c r="D27" s="19">
        <v>1</v>
      </c>
      <c r="E27" s="19">
        <v>12.7</v>
      </c>
    </row>
    <row r="28" spans="1:6" ht="16.5" customHeight="1" x14ac:dyDescent="0.3">
      <c r="A28" s="17">
        <v>5</v>
      </c>
      <c r="B28" s="18">
        <v>73636197</v>
      </c>
      <c r="C28" s="18">
        <v>13479.4</v>
      </c>
      <c r="D28" s="19">
        <v>1</v>
      </c>
      <c r="E28" s="19">
        <v>12.7</v>
      </c>
    </row>
    <row r="29" spans="1:6" ht="16.5" customHeight="1" x14ac:dyDescent="0.3">
      <c r="A29" s="17">
        <v>6</v>
      </c>
      <c r="B29" s="21">
        <v>73502866</v>
      </c>
      <c r="C29" s="21">
        <v>13470.9</v>
      </c>
      <c r="D29" s="22">
        <v>1</v>
      </c>
      <c r="E29" s="22">
        <v>12.7</v>
      </c>
    </row>
    <row r="30" spans="1:6" ht="16.5" customHeight="1" x14ac:dyDescent="0.3">
      <c r="A30" s="23" t="s">
        <v>18</v>
      </c>
      <c r="B30" s="24">
        <f>AVERAGE(B24:B29)</f>
        <v>73449375.5</v>
      </c>
      <c r="C30" s="25">
        <f>AVERAGE(C24:C29)</f>
        <v>13549.58333333333</v>
      </c>
      <c r="D30" s="26">
        <f>AVERAGE(D24:D29)</f>
        <v>1.0166666666666666</v>
      </c>
      <c r="E30" s="26">
        <f>AVERAGE(E24:E29)</f>
        <v>12.700000000000001</v>
      </c>
    </row>
    <row r="31" spans="1:6" ht="16.5" customHeight="1" x14ac:dyDescent="0.3">
      <c r="A31" s="27" t="s">
        <v>19</v>
      </c>
      <c r="B31" s="28">
        <f>(STDEV(B24:B29)/B30)</f>
        <v>4.0316222231168179E-3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524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99.02</v>
      </c>
      <c r="C40" s="10"/>
      <c r="D40" s="10"/>
      <c r="E40" s="10"/>
    </row>
    <row r="41" spans="1:6" ht="16.5" customHeight="1" x14ac:dyDescent="0.3">
      <c r="A41" s="7" t="s">
        <v>8</v>
      </c>
      <c r="B41" s="12">
        <v>17.059999999999999</v>
      </c>
      <c r="C41" s="10"/>
      <c r="D41" s="10"/>
      <c r="E41" s="10"/>
    </row>
    <row r="42" spans="1:6" ht="16.5" customHeight="1" x14ac:dyDescent="0.3">
      <c r="A42" s="7" t="s">
        <v>10</v>
      </c>
      <c r="B42" s="13">
        <f>17.06/100</f>
        <v>0.17059999999999997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73665751</v>
      </c>
      <c r="C45" s="18">
        <v>13561.9</v>
      </c>
      <c r="D45" s="19">
        <v>1</v>
      </c>
      <c r="E45" s="20">
        <v>12.7</v>
      </c>
    </row>
    <row r="46" spans="1:6" ht="16.5" customHeight="1" x14ac:dyDescent="0.3">
      <c r="A46" s="17">
        <v>2</v>
      </c>
      <c r="B46" s="18">
        <v>72883611</v>
      </c>
      <c r="C46" s="18">
        <v>13651.6</v>
      </c>
      <c r="D46" s="19">
        <v>1</v>
      </c>
      <c r="E46" s="19">
        <v>12.7</v>
      </c>
    </row>
    <row r="47" spans="1:6" ht="16.5" customHeight="1" x14ac:dyDescent="0.3">
      <c r="A47" s="17">
        <v>3</v>
      </c>
      <c r="B47" s="18">
        <v>73385983</v>
      </c>
      <c r="C47" s="18">
        <v>13601.2</v>
      </c>
      <c r="D47" s="19">
        <v>1.1000000000000001</v>
      </c>
      <c r="E47" s="19">
        <v>12.7</v>
      </c>
    </row>
    <row r="48" spans="1:6" ht="16.5" customHeight="1" x14ac:dyDescent="0.3">
      <c r="A48" s="17">
        <v>4</v>
      </c>
      <c r="B48" s="18">
        <v>73621845</v>
      </c>
      <c r="C48" s="18">
        <v>13532.5</v>
      </c>
      <c r="D48" s="19">
        <v>1</v>
      </c>
      <c r="E48" s="19">
        <v>12.7</v>
      </c>
    </row>
    <row r="49" spans="1:7" ht="16.5" customHeight="1" x14ac:dyDescent="0.3">
      <c r="A49" s="17">
        <v>5</v>
      </c>
      <c r="B49" s="18">
        <v>73636197</v>
      </c>
      <c r="C49" s="18">
        <v>13479.4</v>
      </c>
      <c r="D49" s="19">
        <v>1</v>
      </c>
      <c r="E49" s="19">
        <v>12.7</v>
      </c>
    </row>
    <row r="50" spans="1:7" ht="16.5" customHeight="1" x14ac:dyDescent="0.3">
      <c r="A50" s="17">
        <v>6</v>
      </c>
      <c r="B50" s="21">
        <v>73502866</v>
      </c>
      <c r="C50" s="21">
        <v>13470.9</v>
      </c>
      <c r="D50" s="22">
        <v>1</v>
      </c>
      <c r="E50" s="22">
        <v>12.7</v>
      </c>
    </row>
    <row r="51" spans="1:7" ht="16.5" customHeight="1" x14ac:dyDescent="0.3">
      <c r="A51" s="23" t="s">
        <v>18</v>
      </c>
      <c r="B51" s="24">
        <f>AVERAGE(B45:B50)</f>
        <v>73449375.5</v>
      </c>
      <c r="C51" s="25">
        <f>AVERAGE(C45:C50)</f>
        <v>13549.58333333333</v>
      </c>
      <c r="D51" s="26">
        <f>AVERAGE(D45:D50)</f>
        <v>1.0166666666666666</v>
      </c>
      <c r="E51" s="26">
        <f>AVERAGE(E45:E50)</f>
        <v>12.700000000000001</v>
      </c>
    </row>
    <row r="52" spans="1:7" ht="16.5" customHeight="1" x14ac:dyDescent="0.3">
      <c r="A52" s="27" t="s">
        <v>19</v>
      </c>
      <c r="B52" s="28">
        <f>(STDEV(B45:B50)/B51)</f>
        <v>4.0316222231168179E-3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1" sqref="A11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1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90"/>
    </row>
    <row r="14" spans="1:7" ht="16.5" customHeight="1" x14ac:dyDescent="0.3">
      <c r="A14" s="482" t="s">
        <v>33</v>
      </c>
      <c r="B14" s="482"/>
      <c r="C14" s="60" t="s">
        <v>5</v>
      </c>
    </row>
    <row r="15" spans="1:7" ht="16.5" customHeight="1" x14ac:dyDescent="0.3">
      <c r="A15" s="482" t="s">
        <v>34</v>
      </c>
      <c r="B15" s="482"/>
      <c r="C15" s="60" t="s">
        <v>7</v>
      </c>
    </row>
    <row r="16" spans="1:7" ht="16.5" customHeight="1" x14ac:dyDescent="0.3">
      <c r="A16" s="482" t="s">
        <v>35</v>
      </c>
      <c r="B16" s="482"/>
      <c r="C16" s="60" t="s">
        <v>9</v>
      </c>
    </row>
    <row r="17" spans="1:5" ht="16.5" customHeight="1" x14ac:dyDescent="0.3">
      <c r="A17" s="482" t="s">
        <v>36</v>
      </c>
      <c r="B17" s="482"/>
      <c r="C17" s="60" t="s">
        <v>11</v>
      </c>
    </row>
    <row r="18" spans="1:5" ht="16.5" customHeight="1" x14ac:dyDescent="0.3">
      <c r="A18" s="482" t="s">
        <v>37</v>
      </c>
      <c r="B18" s="482"/>
      <c r="C18" s="97" t="s">
        <v>12</v>
      </c>
    </row>
    <row r="19" spans="1:5" ht="16.5" customHeight="1" x14ac:dyDescent="0.3">
      <c r="A19" s="482" t="s">
        <v>38</v>
      </c>
      <c r="B19" s="48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7" t="s">
        <v>1</v>
      </c>
      <c r="B21" s="477"/>
      <c r="C21" s="59" t="s">
        <v>39</v>
      </c>
      <c r="D21" s="66"/>
    </row>
    <row r="22" spans="1:5" ht="15.75" customHeight="1" x14ac:dyDescent="0.3">
      <c r="A22" s="481"/>
      <c r="B22" s="481"/>
      <c r="C22" s="57"/>
      <c r="D22" s="481"/>
      <c r="E22" s="48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1098.23</v>
      </c>
      <c r="D24" s="87">
        <f t="shared" ref="D24:D43" si="0">(C24-$C$46)/$C$46</f>
        <v>1.0619403877830809E-2</v>
      </c>
      <c r="E24" s="53"/>
    </row>
    <row r="25" spans="1:5" ht="15.75" customHeight="1" x14ac:dyDescent="0.3">
      <c r="C25" s="95">
        <v>1078.04</v>
      </c>
      <c r="D25" s="88">
        <f t="shared" si="0"/>
        <v>-7.9599517801765829E-3</v>
      </c>
      <c r="E25" s="53"/>
    </row>
    <row r="26" spans="1:5" ht="15.75" customHeight="1" x14ac:dyDescent="0.3">
      <c r="C26" s="95">
        <v>1100.6199999999999</v>
      </c>
      <c r="D26" s="88">
        <f t="shared" si="0"/>
        <v>1.2818743155821656E-2</v>
      </c>
      <c r="E26" s="53"/>
    </row>
    <row r="27" spans="1:5" ht="15.75" customHeight="1" x14ac:dyDescent="0.3">
      <c r="C27" s="95">
        <v>1079.23</v>
      </c>
      <c r="D27" s="88">
        <f t="shared" si="0"/>
        <v>-6.8648832693776847E-3</v>
      </c>
      <c r="E27" s="53"/>
    </row>
    <row r="28" spans="1:5" ht="15.75" customHeight="1" x14ac:dyDescent="0.3">
      <c r="C28" s="95">
        <v>1083.1300000000001</v>
      </c>
      <c r="D28" s="88">
        <f t="shared" si="0"/>
        <v>-3.2760032760032255E-3</v>
      </c>
      <c r="E28" s="53"/>
    </row>
    <row r="29" spans="1:5" ht="15.75" customHeight="1" x14ac:dyDescent="0.3">
      <c r="C29" s="95">
        <v>1081.71</v>
      </c>
      <c r="D29" s="88">
        <f t="shared" si="0"/>
        <v>-4.582723683847296E-3</v>
      </c>
      <c r="E29" s="53"/>
    </row>
    <row r="30" spans="1:5" ht="15.75" customHeight="1" x14ac:dyDescent="0.3">
      <c r="C30" s="95">
        <v>1083.07</v>
      </c>
      <c r="D30" s="88">
        <f t="shared" si="0"/>
        <v>-3.3312168143629904E-3</v>
      </c>
      <c r="E30" s="53"/>
    </row>
    <row r="31" spans="1:5" ht="15.75" customHeight="1" x14ac:dyDescent="0.3">
      <c r="C31" s="95">
        <v>1078.0999999999999</v>
      </c>
      <c r="D31" s="88">
        <f t="shared" si="0"/>
        <v>-7.9047382418170262E-3</v>
      </c>
      <c r="E31" s="53"/>
    </row>
    <row r="32" spans="1:5" ht="15.75" customHeight="1" x14ac:dyDescent="0.3">
      <c r="C32" s="95">
        <v>1092.43</v>
      </c>
      <c r="D32" s="88">
        <f t="shared" si="0"/>
        <v>5.2820951697356271E-3</v>
      </c>
      <c r="E32" s="53"/>
    </row>
    <row r="33" spans="1:7" ht="15.75" customHeight="1" x14ac:dyDescent="0.3">
      <c r="C33" s="95">
        <v>1071.6400000000001</v>
      </c>
      <c r="D33" s="88">
        <f t="shared" si="0"/>
        <v>-1.384939587186774E-2</v>
      </c>
      <c r="E33" s="53"/>
    </row>
    <row r="34" spans="1:7" ht="15.75" customHeight="1" x14ac:dyDescent="0.3">
      <c r="C34" s="95">
        <v>1112.83</v>
      </c>
      <c r="D34" s="88">
        <f t="shared" si="0"/>
        <v>2.4054698212001464E-2</v>
      </c>
      <c r="E34" s="53"/>
    </row>
    <row r="35" spans="1:7" ht="15.75" customHeight="1" x14ac:dyDescent="0.3">
      <c r="C35" s="95">
        <v>1065.76</v>
      </c>
      <c r="D35" s="88">
        <f t="shared" si="0"/>
        <v>-1.9260322631109206E-2</v>
      </c>
      <c r="E35" s="53"/>
    </row>
    <row r="36" spans="1:7" ht="15.75" customHeight="1" x14ac:dyDescent="0.3">
      <c r="C36" s="95">
        <v>1092.58</v>
      </c>
      <c r="D36" s="88">
        <f t="shared" si="0"/>
        <v>5.4201290156345163E-3</v>
      </c>
      <c r="E36" s="53"/>
    </row>
    <row r="37" spans="1:7" ht="15.75" customHeight="1" x14ac:dyDescent="0.3">
      <c r="C37" s="95">
        <v>1077.08</v>
      </c>
      <c r="D37" s="88">
        <f t="shared" si="0"/>
        <v>-8.8433683939303093E-3</v>
      </c>
      <c r="E37" s="53"/>
    </row>
    <row r="38" spans="1:7" ht="15.75" customHeight="1" x14ac:dyDescent="0.3">
      <c r="C38" s="95">
        <v>1088</v>
      </c>
      <c r="D38" s="88">
        <f t="shared" si="0"/>
        <v>1.2054955875180091E-3</v>
      </c>
      <c r="E38" s="53"/>
    </row>
    <row r="39" spans="1:7" ht="15.75" customHeight="1" x14ac:dyDescent="0.3">
      <c r="C39" s="95">
        <v>1086.53</v>
      </c>
      <c r="D39" s="88">
        <f t="shared" si="0"/>
        <v>-1.4723610229235739E-4</v>
      </c>
      <c r="E39" s="53"/>
    </row>
    <row r="40" spans="1:7" ht="15.75" customHeight="1" x14ac:dyDescent="0.3">
      <c r="C40" s="95">
        <v>1089.9100000000001</v>
      </c>
      <c r="D40" s="88">
        <f t="shared" si="0"/>
        <v>2.9631265586322016E-3</v>
      </c>
      <c r="E40" s="53"/>
    </row>
    <row r="41" spans="1:7" ht="15.75" customHeight="1" x14ac:dyDescent="0.3">
      <c r="C41" s="95">
        <v>1099.04</v>
      </c>
      <c r="D41" s="88">
        <f t="shared" si="0"/>
        <v>1.1364786645685437E-2</v>
      </c>
      <c r="E41" s="53"/>
    </row>
    <row r="42" spans="1:7" ht="15.75" customHeight="1" x14ac:dyDescent="0.3">
      <c r="C42" s="95">
        <v>1098.4100000000001</v>
      </c>
      <c r="D42" s="88">
        <f t="shared" si="0"/>
        <v>1.0785044492909686E-2</v>
      </c>
      <c r="E42" s="53"/>
    </row>
    <row r="43" spans="1:7" ht="16.5" customHeight="1" x14ac:dyDescent="0.3">
      <c r="C43" s="96">
        <v>1077.46</v>
      </c>
      <c r="D43" s="89">
        <f t="shared" si="0"/>
        <v>-8.4936826509860383E-3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21733.8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1086.69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5">
        <f>C46</f>
        <v>1086.69</v>
      </c>
      <c r="C49" s="93">
        <f>-IF(C46&lt;=80,10%,IF(C46&lt;250,7.5%,5%))</f>
        <v>-0.05</v>
      </c>
      <c r="D49" s="81">
        <f>IF(C46&lt;=80,C46*0.9,IF(C46&lt;250,C46*0.925,C46*0.95))</f>
        <v>1032.3554999999999</v>
      </c>
    </row>
    <row r="50" spans="1:6" ht="17.25" customHeight="1" x14ac:dyDescent="0.3">
      <c r="B50" s="476"/>
      <c r="C50" s="94">
        <f>IF(C46&lt;=80, 10%, IF(C46&lt;250, 7.5%, 5%))</f>
        <v>0.05</v>
      </c>
      <c r="D50" s="81">
        <f>IF(C46&lt;=80, C46*1.1, IF(C46&lt;250, C46*1.075, C46*1.05))</f>
        <v>1141.0245000000002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98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100" t="s">
        <v>33</v>
      </c>
      <c r="B18" s="485" t="s">
        <v>5</v>
      </c>
      <c r="C18" s="485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0" t="s">
        <v>9</v>
      </c>
      <c r="C20" s="49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5" t="s">
        <v>131</v>
      </c>
      <c r="C26" s="485"/>
    </row>
    <row r="27" spans="1:14" ht="26.25" customHeight="1" x14ac:dyDescent="0.4">
      <c r="A27" s="109" t="s">
        <v>48</v>
      </c>
      <c r="B27" s="491" t="s">
        <v>132</v>
      </c>
      <c r="C27" s="491"/>
    </row>
    <row r="28" spans="1:14" ht="27" customHeight="1" x14ac:dyDescent="0.4">
      <c r="A28" s="109" t="s">
        <v>6</v>
      </c>
      <c r="B28" s="110">
        <v>99.02</v>
      </c>
    </row>
    <row r="29" spans="1:14" s="14" customFormat="1" ht="27" customHeight="1" x14ac:dyDescent="0.4">
      <c r="A29" s="109" t="s">
        <v>49</v>
      </c>
      <c r="B29" s="111"/>
      <c r="C29" s="492" t="s">
        <v>50</v>
      </c>
      <c r="D29" s="493"/>
      <c r="E29" s="493"/>
      <c r="F29" s="493"/>
      <c r="G29" s="49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99.02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5" t="s">
        <v>53</v>
      </c>
      <c r="D31" s="496"/>
      <c r="E31" s="496"/>
      <c r="F31" s="496"/>
      <c r="G31" s="496"/>
      <c r="H31" s="49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5" t="s">
        <v>55</v>
      </c>
      <c r="D32" s="496"/>
      <c r="E32" s="496"/>
      <c r="F32" s="496"/>
      <c r="G32" s="496"/>
      <c r="H32" s="49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498" t="s">
        <v>59</v>
      </c>
      <c r="E36" s="499"/>
      <c r="F36" s="498" t="s">
        <v>60</v>
      </c>
      <c r="G36" s="5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319">
        <v>73225411</v>
      </c>
      <c r="E38" s="132">
        <f>IF(ISBLANK(D38),"-",$D$48/$D$45*D38)</f>
        <v>69355331.486551791</v>
      </c>
      <c r="F38" s="319">
        <v>66067913</v>
      </c>
      <c r="G38" s="133">
        <f>IF(ISBLANK(F38),"-",$D$48/$F$45*F38)</f>
        <v>69276351.987308204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24">
        <v>73178844</v>
      </c>
      <c r="E39" s="137">
        <f>IF(ISBLANK(D39),"-",$D$48/$D$45*D39)</f>
        <v>69311225.626615629</v>
      </c>
      <c r="F39" s="324">
        <v>66476728</v>
      </c>
      <c r="G39" s="138">
        <f>IF(ISBLANK(F39),"-",$D$48/$F$45*F39)</f>
        <v>69705020.164516881</v>
      </c>
      <c r="I39" s="502">
        <f>ABS((F43/D43*D42)-F42)/D42</f>
        <v>9.7981783509658912E-4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24">
        <v>73119830</v>
      </c>
      <c r="E40" s="137">
        <f>IF(ISBLANK(D40),"-",$D$48/$D$45*D40)</f>
        <v>69255330.610439509</v>
      </c>
      <c r="F40" s="324">
        <v>65962724</v>
      </c>
      <c r="G40" s="138">
        <f>IF(ISBLANK(F40),"-",$D$48/$F$45*F40)</f>
        <v>69166054.721081659</v>
      </c>
      <c r="I40" s="502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73174695</v>
      </c>
      <c r="E42" s="147">
        <f>AVERAGE(E38:E41)</f>
        <v>69307295.907868966</v>
      </c>
      <c r="F42" s="146">
        <f>AVERAGE(F38:F41)</f>
        <v>66169121.666666664</v>
      </c>
      <c r="G42" s="148">
        <f>AVERAGE(G38:G41)</f>
        <v>69382475.624302253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17.059999999999999</v>
      </c>
      <c r="E43" s="139"/>
      <c r="F43" s="151">
        <v>15.41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17.059999999999999</v>
      </c>
      <c r="E44" s="154"/>
      <c r="F44" s="153">
        <f>F43*$B$34</f>
        <v>15.41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16.892811999999999</v>
      </c>
      <c r="E45" s="157"/>
      <c r="F45" s="156">
        <f>F44*$B$30/100</f>
        <v>15.258981999999998</v>
      </c>
      <c r="H45" s="149"/>
    </row>
    <row r="46" spans="1:14" ht="19.5" customHeight="1" x14ac:dyDescent="0.3">
      <c r="A46" s="503" t="s">
        <v>78</v>
      </c>
      <c r="B46" s="504"/>
      <c r="C46" s="152" t="s">
        <v>79</v>
      </c>
      <c r="D46" s="158">
        <f>D45/$B$45</f>
        <v>0.16892811999999999</v>
      </c>
      <c r="E46" s="159"/>
      <c r="F46" s="160">
        <f>F45/$B$45</f>
        <v>0.15258981999999999</v>
      </c>
      <c r="H46" s="149"/>
    </row>
    <row r="47" spans="1:14" ht="27" customHeight="1" x14ac:dyDescent="0.4">
      <c r="A47" s="505"/>
      <c r="B47" s="506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69344885.76608561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2.7027625117783888E-3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contains: Sulfamethoxazole BP 800 mg and Trimethoprim BP 160 mg.</v>
      </c>
    </row>
    <row r="56" spans="1:12" ht="26.25" customHeight="1" x14ac:dyDescent="0.4">
      <c r="A56" s="176" t="s">
        <v>87</v>
      </c>
      <c r="B56" s="177">
        <v>800</v>
      </c>
      <c r="C56" s="99" t="str">
        <f>B20</f>
        <v>Sulfamethoxazole BP 800 mg &amp; Trimethoprim BP 160 mg</v>
      </c>
      <c r="H56" s="178"/>
    </row>
    <row r="57" spans="1:12" ht="18.75" x14ac:dyDescent="0.3">
      <c r="A57" s="175" t="s">
        <v>88</v>
      </c>
      <c r="B57" s="246">
        <f>Uniformity!C46</f>
        <v>1086.69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7" t="s">
        <v>94</v>
      </c>
      <c r="D60" s="510">
        <v>1084.83</v>
      </c>
      <c r="E60" s="181">
        <v>1</v>
      </c>
      <c r="F60" s="182">
        <v>67614111</v>
      </c>
      <c r="G60" s="247">
        <f>IF(ISBLANK(F60),"-",(F60/$D$50*$D$47*$B$68)*($B$57/$D$60))</f>
        <v>781.37025760640461</v>
      </c>
      <c r="H60" s="265">
        <f t="shared" ref="H60:H71" si="0">IF(ISBLANK(F60),"-",(G60/$B$56)*100)</f>
        <v>97.671282200800576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8"/>
      <c r="D61" s="511"/>
      <c r="E61" s="183">
        <v>2</v>
      </c>
      <c r="F61" s="136">
        <v>67818420</v>
      </c>
      <c r="G61" s="248">
        <f>IF(ISBLANK(F61),"-",(F61/$D$50*$D$47*$B$68)*($B$57/$D$60))</f>
        <v>783.73131765141954</v>
      </c>
      <c r="H61" s="266">
        <f t="shared" si="0"/>
        <v>97.966414706427443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8"/>
      <c r="D62" s="511"/>
      <c r="E62" s="183">
        <v>3</v>
      </c>
      <c r="F62" s="184">
        <v>67740017</v>
      </c>
      <c r="G62" s="248">
        <f>IF(ISBLANK(F62),"-",(F62/$D$50*$D$47*$B$68)*($B$57/$D$60))</f>
        <v>782.82526754736477</v>
      </c>
      <c r="H62" s="266">
        <f t="shared" si="0"/>
        <v>97.853158443420597</v>
      </c>
      <c r="L62" s="112"/>
    </row>
    <row r="63" spans="1:12" ht="27" customHeight="1" x14ac:dyDescent="0.4">
      <c r="A63" s="124" t="s">
        <v>97</v>
      </c>
      <c r="B63" s="125">
        <v>1</v>
      </c>
      <c r="C63" s="509"/>
      <c r="D63" s="512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7" t="s">
        <v>99</v>
      </c>
      <c r="D64" s="510">
        <v>1092.56</v>
      </c>
      <c r="E64" s="181">
        <v>1</v>
      </c>
      <c r="F64" s="182">
        <v>68184211</v>
      </c>
      <c r="G64" s="247">
        <f>IF(ISBLANK(F64),"-",(F64/$D$50*$D$47*$B$68)*($B$57/$D$64))</f>
        <v>782.38360923215259</v>
      </c>
      <c r="H64" s="265">
        <f t="shared" si="0"/>
        <v>97.797951154019074</v>
      </c>
    </row>
    <row r="65" spans="1:8" ht="26.25" customHeight="1" x14ac:dyDescent="0.4">
      <c r="A65" s="124" t="s">
        <v>100</v>
      </c>
      <c r="B65" s="125">
        <v>1</v>
      </c>
      <c r="C65" s="508"/>
      <c r="D65" s="511"/>
      <c r="E65" s="183">
        <v>2</v>
      </c>
      <c r="F65" s="136">
        <v>67594123</v>
      </c>
      <c r="G65" s="248">
        <f>IF(ISBLANK(F65),"-",(F65/$D$50*$D$47*$B$68)*($B$57/$D$64))</f>
        <v>775.61261089641494</v>
      </c>
      <c r="H65" s="266">
        <f t="shared" si="0"/>
        <v>96.951576362051867</v>
      </c>
    </row>
    <row r="66" spans="1:8" ht="26.25" customHeight="1" x14ac:dyDescent="0.4">
      <c r="A66" s="124" t="s">
        <v>101</v>
      </c>
      <c r="B66" s="125">
        <v>1</v>
      </c>
      <c r="C66" s="508"/>
      <c r="D66" s="511"/>
      <c r="E66" s="183">
        <v>3</v>
      </c>
      <c r="F66" s="136">
        <v>68021169</v>
      </c>
      <c r="G66" s="248">
        <f>IF(ISBLANK(F66),"-",(F66/$D$50*$D$47*$B$68)*($B$57/$D$64))</f>
        <v>780.512774525032</v>
      </c>
      <c r="H66" s="266">
        <f t="shared" si="0"/>
        <v>97.564096815629</v>
      </c>
    </row>
    <row r="67" spans="1:8" ht="27" customHeight="1" x14ac:dyDescent="0.4">
      <c r="A67" s="124" t="s">
        <v>102</v>
      </c>
      <c r="B67" s="125">
        <v>1</v>
      </c>
      <c r="C67" s="509"/>
      <c r="D67" s="512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7">
        <f>(B67/B66)*(B65/B64)*(B63/B62)*(B61/B60)*B59</f>
        <v>5000</v>
      </c>
      <c r="C68" s="507" t="s">
        <v>104</v>
      </c>
      <c r="D68" s="510">
        <v>1095.46</v>
      </c>
      <c r="E68" s="181">
        <v>1</v>
      </c>
      <c r="F68" s="182">
        <v>68568442</v>
      </c>
      <c r="G68" s="247">
        <f>IF(ISBLANK(F68),"-",(F68/$D$50*$D$47*$B$68)*($B$57/$D$68))</f>
        <v>784.70962203466058</v>
      </c>
      <c r="H68" s="266">
        <f t="shared" si="0"/>
        <v>98.088702754332573</v>
      </c>
    </row>
    <row r="69" spans="1:8" ht="27" customHeight="1" x14ac:dyDescent="0.4">
      <c r="A69" s="171" t="s">
        <v>105</v>
      </c>
      <c r="B69" s="188">
        <f>(D47*B68)/B56*B57</f>
        <v>1086.69</v>
      </c>
      <c r="C69" s="508"/>
      <c r="D69" s="511"/>
      <c r="E69" s="183">
        <v>2</v>
      </c>
      <c r="F69" s="136">
        <v>68291713</v>
      </c>
      <c r="G69" s="248">
        <f>IF(ISBLANK(F69),"-",(F69/$D$50*$D$47*$B$68)*($B$57/$D$68))</f>
        <v>781.54268542851696</v>
      </c>
      <c r="H69" s="266">
        <f t="shared" si="0"/>
        <v>97.69283567856462</v>
      </c>
    </row>
    <row r="70" spans="1:8" ht="26.25" customHeight="1" x14ac:dyDescent="0.4">
      <c r="A70" s="520" t="s">
        <v>78</v>
      </c>
      <c r="B70" s="521"/>
      <c r="C70" s="508"/>
      <c r="D70" s="511"/>
      <c r="E70" s="183">
        <v>3</v>
      </c>
      <c r="F70" s="136">
        <v>68191849</v>
      </c>
      <c r="G70" s="248">
        <f>IF(ISBLANK(F70),"-",(F70/$D$50*$D$47*$B$68)*($B$57/$D$68))</f>
        <v>780.39982379408059</v>
      </c>
      <c r="H70" s="266">
        <f t="shared" si="0"/>
        <v>97.549977974260074</v>
      </c>
    </row>
    <row r="71" spans="1:8" ht="27" customHeight="1" x14ac:dyDescent="0.4">
      <c r="A71" s="522"/>
      <c r="B71" s="523"/>
      <c r="C71" s="519"/>
      <c r="D71" s="512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781.4542187462273</v>
      </c>
      <c r="H72" s="268">
        <f>AVERAGE(H60:H71)</f>
        <v>97.681777343278412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3.3450372681482904E-3</v>
      </c>
      <c r="H73" s="252">
        <f>STDEV(H60:H71)/H72</f>
        <v>3.3450372681482904E-3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8" t="s">
        <v>106</v>
      </c>
      <c r="B76" s="196" t="s">
        <v>107</v>
      </c>
      <c r="C76" s="515" t="str">
        <f>B26</f>
        <v>sulfamethoxazole</v>
      </c>
      <c r="D76" s="515"/>
      <c r="E76" s="197" t="s">
        <v>108</v>
      </c>
      <c r="F76" s="197"/>
      <c r="G76" s="284">
        <f>H72</f>
        <v>97.681777343278412</v>
      </c>
      <c r="H76" s="199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1" t="str">
        <f>B26</f>
        <v>sulfamethoxazole</v>
      </c>
      <c r="C79" s="501"/>
    </row>
    <row r="80" spans="1:8" ht="26.25" customHeight="1" x14ac:dyDescent="0.4">
      <c r="A80" s="109" t="s">
        <v>48</v>
      </c>
      <c r="B80" s="501" t="str">
        <f>B27</f>
        <v>s12-6</v>
      </c>
      <c r="C80" s="501"/>
    </row>
    <row r="81" spans="1:12" ht="27" customHeight="1" x14ac:dyDescent="0.4">
      <c r="A81" s="109" t="s">
        <v>6</v>
      </c>
      <c r="B81" s="200">
        <f>B28</f>
        <v>99.02</v>
      </c>
    </row>
    <row r="82" spans="1:12" s="14" customFormat="1" ht="27" customHeight="1" x14ac:dyDescent="0.4">
      <c r="A82" s="109" t="s">
        <v>49</v>
      </c>
      <c r="B82" s="111">
        <v>0</v>
      </c>
      <c r="C82" s="492" t="s">
        <v>50</v>
      </c>
      <c r="D82" s="493"/>
      <c r="E82" s="493"/>
      <c r="F82" s="493"/>
      <c r="G82" s="49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99.02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5" t="s">
        <v>111</v>
      </c>
      <c r="D84" s="496"/>
      <c r="E84" s="496"/>
      <c r="F84" s="496"/>
      <c r="G84" s="496"/>
      <c r="H84" s="49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5" t="s">
        <v>112</v>
      </c>
      <c r="D85" s="496"/>
      <c r="E85" s="496"/>
      <c r="F85" s="496"/>
      <c r="G85" s="496"/>
      <c r="H85" s="49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1" t="s">
        <v>59</v>
      </c>
      <c r="E89" s="202"/>
      <c r="F89" s="498" t="s">
        <v>60</v>
      </c>
      <c r="G89" s="500"/>
    </row>
    <row r="90" spans="1:12" ht="27" customHeight="1" x14ac:dyDescent="0.4">
      <c r="A90" s="124" t="s">
        <v>61</v>
      </c>
      <c r="B90" s="125">
        <v>1</v>
      </c>
      <c r="C90" s="203" t="s">
        <v>62</v>
      </c>
      <c r="D90" s="127" t="s">
        <v>63</v>
      </c>
      <c r="E90" s="128" t="s">
        <v>64</v>
      </c>
      <c r="F90" s="127" t="s">
        <v>63</v>
      </c>
      <c r="G90" s="204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5">
        <v>1</v>
      </c>
      <c r="D91" s="319">
        <v>73225411</v>
      </c>
      <c r="E91" s="132">
        <f>IF(ISBLANK(D91),"-",$D$101/$D$98*D91)</f>
        <v>77061479.42950201</v>
      </c>
      <c r="F91" s="319">
        <v>66067913</v>
      </c>
      <c r="G91" s="133">
        <f>IF(ISBLANK(F91),"-",$D$101/$F$98*F91)</f>
        <v>76973724.430342466</v>
      </c>
      <c r="I91" s="134"/>
    </row>
    <row r="92" spans="1:12" ht="26.25" customHeight="1" x14ac:dyDescent="0.4">
      <c r="A92" s="124" t="s">
        <v>67</v>
      </c>
      <c r="B92" s="125">
        <v>1</v>
      </c>
      <c r="C92" s="190">
        <v>2</v>
      </c>
      <c r="D92" s="324">
        <v>73178844</v>
      </c>
      <c r="E92" s="137">
        <f>IF(ISBLANK(D92),"-",$D$101/$D$98*D92)</f>
        <v>77012472.918461829</v>
      </c>
      <c r="F92" s="324">
        <v>66476728</v>
      </c>
      <c r="G92" s="138">
        <f>IF(ISBLANK(F92),"-",$D$101/$F$98*F92)</f>
        <v>77450022.405018762</v>
      </c>
      <c r="I92" s="502">
        <f>ABS((F96/D96*D95)-F95)/D95</f>
        <v>9.7981783509658912E-4</v>
      </c>
    </row>
    <row r="93" spans="1:12" ht="26.25" customHeight="1" x14ac:dyDescent="0.4">
      <c r="A93" s="124" t="s">
        <v>68</v>
      </c>
      <c r="B93" s="125">
        <v>1</v>
      </c>
      <c r="C93" s="190">
        <v>3</v>
      </c>
      <c r="D93" s="324">
        <v>73119830</v>
      </c>
      <c r="E93" s="137">
        <f>IF(ISBLANK(D93),"-",$D$101/$D$98*D93)</f>
        <v>76950367.344932809</v>
      </c>
      <c r="F93" s="324">
        <v>65962724</v>
      </c>
      <c r="G93" s="138">
        <f>IF(ISBLANK(F93),"-",$D$101/$F$98*F93)</f>
        <v>76851171.91231297</v>
      </c>
      <c r="I93" s="502"/>
    </row>
    <row r="94" spans="1:12" ht="27" customHeight="1" x14ac:dyDescent="0.4">
      <c r="A94" s="124" t="s">
        <v>69</v>
      </c>
      <c r="B94" s="125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08" t="s">
        <v>71</v>
      </c>
      <c r="D95" s="209">
        <f>AVERAGE(D91:D94)</f>
        <v>73174695</v>
      </c>
      <c r="E95" s="147">
        <f>AVERAGE(E91:E94)</f>
        <v>77008106.564298883</v>
      </c>
      <c r="F95" s="210">
        <f>AVERAGE(F91:F94)</f>
        <v>66169121.666666664</v>
      </c>
      <c r="G95" s="211">
        <f>AVERAGE(G91:G94)</f>
        <v>77091639.582558081</v>
      </c>
    </row>
    <row r="96" spans="1:12" ht="26.25" customHeight="1" x14ac:dyDescent="0.4">
      <c r="A96" s="124" t="s">
        <v>72</v>
      </c>
      <c r="B96" s="110">
        <v>1</v>
      </c>
      <c r="C96" s="212" t="s">
        <v>113</v>
      </c>
      <c r="D96" s="213">
        <v>17.059999999999999</v>
      </c>
      <c r="E96" s="139"/>
      <c r="F96" s="151">
        <v>15.41</v>
      </c>
    </row>
    <row r="97" spans="1:10" ht="26.25" customHeight="1" x14ac:dyDescent="0.4">
      <c r="A97" s="124" t="s">
        <v>74</v>
      </c>
      <c r="B97" s="110">
        <v>1</v>
      </c>
      <c r="C97" s="214" t="s">
        <v>114</v>
      </c>
      <c r="D97" s="215">
        <f>D96*$B$87</f>
        <v>17.059999999999999</v>
      </c>
      <c r="E97" s="154"/>
      <c r="F97" s="153">
        <f>F96*$B$87</f>
        <v>15.41</v>
      </c>
    </row>
    <row r="98" spans="1:10" ht="19.5" customHeight="1" x14ac:dyDescent="0.3">
      <c r="A98" s="124" t="s">
        <v>76</v>
      </c>
      <c r="B98" s="216">
        <f>(B97/B96)*(B95/B94)*(B93/B92)*(B91/B90)*B89</f>
        <v>100</v>
      </c>
      <c r="C98" s="214" t="s">
        <v>115</v>
      </c>
      <c r="D98" s="217">
        <f>D97*$B$83/100</f>
        <v>16.892811999999999</v>
      </c>
      <c r="E98" s="157"/>
      <c r="F98" s="156">
        <f>F97*$B$83/100</f>
        <v>15.258981999999998</v>
      </c>
    </row>
    <row r="99" spans="1:10" ht="19.5" customHeight="1" x14ac:dyDescent="0.3">
      <c r="A99" s="503" t="s">
        <v>78</v>
      </c>
      <c r="B99" s="517"/>
      <c r="C99" s="214" t="s">
        <v>116</v>
      </c>
      <c r="D99" s="218">
        <f>D98/$B$98</f>
        <v>0.16892811999999999</v>
      </c>
      <c r="E99" s="157"/>
      <c r="F99" s="160">
        <f>F98/$B$98</f>
        <v>0.15258981999999999</v>
      </c>
      <c r="G99" s="219"/>
      <c r="H99" s="149"/>
    </row>
    <row r="100" spans="1:10" ht="19.5" customHeight="1" x14ac:dyDescent="0.3">
      <c r="A100" s="505"/>
      <c r="B100" s="518"/>
      <c r="C100" s="214" t="s">
        <v>80</v>
      </c>
      <c r="D100" s="220">
        <f>$B$56/$B$116</f>
        <v>0.17777777777777778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17.777777777777779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17.777777777777779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77049873.073428482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2.7027625117783268E-3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4" t="s">
        <v>122</v>
      </c>
      <c r="B108" s="125">
        <v>4</v>
      </c>
      <c r="C108" s="274">
        <v>1</v>
      </c>
      <c r="D108" s="275">
        <v>75658418</v>
      </c>
      <c r="E108" s="249">
        <f t="shared" ref="E108:E113" si="1">IF(ISBLANK(D108),"-",D108/$D$103*$D$100*$B$116)</f>
        <v>785.55268147318111</v>
      </c>
      <c r="F108" s="276">
        <f t="shared" ref="F108:F113" si="2">IF(ISBLANK(D108), "-", (E108/$B$56)*100)</f>
        <v>98.194085184147639</v>
      </c>
    </row>
    <row r="109" spans="1:10" ht="26.25" customHeight="1" x14ac:dyDescent="0.4">
      <c r="A109" s="124" t="s">
        <v>95</v>
      </c>
      <c r="B109" s="125">
        <v>20</v>
      </c>
      <c r="C109" s="270">
        <v>2</v>
      </c>
      <c r="D109" s="272">
        <v>74345843</v>
      </c>
      <c r="E109" s="250">
        <f t="shared" si="1"/>
        <v>771.9243657068555</v>
      </c>
      <c r="F109" s="277">
        <f t="shared" si="2"/>
        <v>96.490545713356937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272">
        <v>74627908</v>
      </c>
      <c r="E110" s="250">
        <f t="shared" si="1"/>
        <v>774.85301426913077</v>
      </c>
      <c r="F110" s="277">
        <f t="shared" si="2"/>
        <v>96.856626783641346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272">
        <v>74409801</v>
      </c>
      <c r="E111" s="250">
        <f t="shared" si="1"/>
        <v>772.58843428943749</v>
      </c>
      <c r="F111" s="277">
        <f t="shared" si="2"/>
        <v>96.573554286179686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272">
        <v>75729932</v>
      </c>
      <c r="E112" s="250">
        <f t="shared" si="1"/>
        <v>786.2952031376293</v>
      </c>
      <c r="F112" s="277">
        <f t="shared" si="2"/>
        <v>98.286900392203663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273">
        <v>75593807</v>
      </c>
      <c r="E113" s="251">
        <f t="shared" si="1"/>
        <v>784.88183286645165</v>
      </c>
      <c r="F113" s="278">
        <f t="shared" si="2"/>
        <v>98.110229108306456</v>
      </c>
    </row>
    <row r="114" spans="1:10" ht="27" customHeight="1" x14ac:dyDescent="0.4">
      <c r="A114" s="124" t="s">
        <v>101</v>
      </c>
      <c r="B114" s="125">
        <v>1</v>
      </c>
      <c r="C114" s="232"/>
      <c r="D114" s="190"/>
      <c r="E114" s="98"/>
      <c r="F114" s="279"/>
    </row>
    <row r="115" spans="1:10" ht="26.25" customHeight="1" x14ac:dyDescent="0.4">
      <c r="A115" s="124" t="s">
        <v>102</v>
      </c>
      <c r="B115" s="125">
        <v>1</v>
      </c>
      <c r="C115" s="232"/>
      <c r="D115" s="256" t="s">
        <v>71</v>
      </c>
      <c r="E115" s="258">
        <f>AVERAGE(E108:E113)</f>
        <v>779.34925529044767</v>
      </c>
      <c r="F115" s="280">
        <f>AVERAGE(F108:F113)</f>
        <v>97.418656911305959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8.8598972635356328E-3</v>
      </c>
      <c r="F116" s="234">
        <f>STDEV(F108:F113)/F115</f>
        <v>8.8598972635356328E-3</v>
      </c>
      <c r="I116" s="98"/>
    </row>
    <row r="117" spans="1:10" ht="27" customHeight="1" x14ac:dyDescent="0.4">
      <c r="A117" s="503" t="s">
        <v>78</v>
      </c>
      <c r="B117" s="504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8"/>
      <c r="J117" s="228"/>
    </row>
    <row r="118" spans="1:10" ht="26.25" customHeight="1" x14ac:dyDescent="0.3">
      <c r="A118" s="505"/>
      <c r="B118" s="506"/>
      <c r="C118" s="98"/>
      <c r="D118" s="259"/>
      <c r="E118" s="483" t="s">
        <v>123</v>
      </c>
      <c r="F118" s="484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771.9243657068555</v>
      </c>
      <c r="F119" s="281">
        <f>MIN(F108:F113)</f>
        <v>96.490545713356937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6" t="s">
        <v>125</v>
      </c>
      <c r="E120" s="263">
        <f>MAX(E108:E113)</f>
        <v>786.2952031376293</v>
      </c>
      <c r="F120" s="282">
        <f>MAX(F108:F113)</f>
        <v>98.286900392203663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6" t="s">
        <v>126</v>
      </c>
      <c r="C124" s="515" t="str">
        <f>B26</f>
        <v>sulfamethoxazole</v>
      </c>
      <c r="D124" s="515"/>
      <c r="E124" s="197" t="s">
        <v>127</v>
      </c>
      <c r="F124" s="197"/>
      <c r="G124" s="283">
        <f>F115</f>
        <v>97.418656911305959</v>
      </c>
      <c r="H124" s="98"/>
      <c r="I124" s="98"/>
    </row>
    <row r="125" spans="1:10" ht="45.75" customHeight="1" x14ac:dyDescent="0.65">
      <c r="A125" s="108"/>
      <c r="B125" s="196" t="s">
        <v>128</v>
      </c>
      <c r="C125" s="109" t="s">
        <v>129</v>
      </c>
      <c r="D125" s="283">
        <f>MIN(F108:F113)</f>
        <v>96.490545713356937</v>
      </c>
      <c r="E125" s="208" t="s">
        <v>130</v>
      </c>
      <c r="F125" s="283">
        <f>MAX(F108:F113)</f>
        <v>98.286900392203663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16" t="s">
        <v>26</v>
      </c>
      <c r="C127" s="516"/>
      <c r="E127" s="203" t="s">
        <v>27</v>
      </c>
      <c r="F127" s="238"/>
      <c r="G127" s="516" t="s">
        <v>28</v>
      </c>
      <c r="H127" s="516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285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287" t="s">
        <v>33</v>
      </c>
      <c r="B18" s="485" t="s">
        <v>5</v>
      </c>
      <c r="C18" s="485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90" t="s">
        <v>9</v>
      </c>
      <c r="C20" s="490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90" t="s">
        <v>11</v>
      </c>
      <c r="C21" s="490"/>
      <c r="D21" s="490"/>
      <c r="E21" s="490"/>
      <c r="F21" s="490"/>
      <c r="G21" s="490"/>
      <c r="H21" s="490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85" t="s">
        <v>133</v>
      </c>
      <c r="C26" s="485"/>
    </row>
    <row r="27" spans="1:14" ht="26.25" customHeight="1" x14ac:dyDescent="0.4">
      <c r="A27" s="296" t="s">
        <v>48</v>
      </c>
      <c r="B27" s="491" t="s">
        <v>134</v>
      </c>
      <c r="C27" s="491"/>
    </row>
    <row r="28" spans="1:14" ht="27" customHeight="1" x14ac:dyDescent="0.4">
      <c r="A28" s="296" t="s">
        <v>6</v>
      </c>
      <c r="B28" s="297">
        <v>99.3</v>
      </c>
    </row>
    <row r="29" spans="1:14" s="14" customFormat="1" ht="27" customHeight="1" x14ac:dyDescent="0.4">
      <c r="A29" s="296" t="s">
        <v>49</v>
      </c>
      <c r="B29" s="298"/>
      <c r="C29" s="492" t="s">
        <v>50</v>
      </c>
      <c r="D29" s="493"/>
      <c r="E29" s="493"/>
      <c r="F29" s="493"/>
      <c r="G29" s="494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99.3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5" t="s">
        <v>53</v>
      </c>
      <c r="D31" s="496"/>
      <c r="E31" s="496"/>
      <c r="F31" s="496"/>
      <c r="G31" s="496"/>
      <c r="H31" s="497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5" t="s">
        <v>55</v>
      </c>
      <c r="D32" s="496"/>
      <c r="E32" s="496"/>
      <c r="F32" s="496"/>
      <c r="G32" s="496"/>
      <c r="H32" s="49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25</v>
      </c>
      <c r="C36" s="286"/>
      <c r="D36" s="498" t="s">
        <v>59</v>
      </c>
      <c r="E36" s="499"/>
      <c r="F36" s="498" t="s">
        <v>60</v>
      </c>
      <c r="G36" s="500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4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100</v>
      </c>
      <c r="C38" s="318">
        <v>1</v>
      </c>
      <c r="D38" s="319">
        <v>4844681</v>
      </c>
      <c r="E38" s="320">
        <f>IF(ISBLANK(D38),"-",$D$48/$D$45*D38)</f>
        <v>4963207.3548409566</v>
      </c>
      <c r="F38" s="319">
        <v>5336796</v>
      </c>
      <c r="G38" s="321">
        <f>IF(ISBLANK(F38),"-",$D$48/$F$45*F38)</f>
        <v>5006443.3334224522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4838814</v>
      </c>
      <c r="E39" s="325">
        <f>IF(ISBLANK(D39),"-",$D$48/$D$45*D39)</f>
        <v>4957196.8171913465</v>
      </c>
      <c r="F39" s="324">
        <v>5370622</v>
      </c>
      <c r="G39" s="326">
        <f>IF(ISBLANK(F39),"-",$D$48/$F$45*F39)</f>
        <v>5038175.4723680569</v>
      </c>
      <c r="I39" s="502">
        <f>ABS((F43/D43*D42)-F42)/D42</f>
        <v>1.251247693705298E-2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4828506</v>
      </c>
      <c r="E40" s="325">
        <f>IF(ISBLANK(D40),"-",$D$48/$D$45*D40)</f>
        <v>4946636.6293453975</v>
      </c>
      <c r="F40" s="324">
        <v>5322213</v>
      </c>
      <c r="G40" s="326">
        <f>IF(ISBLANK(F40),"-",$D$48/$F$45*F40)</f>
        <v>4992763.0347692342</v>
      </c>
      <c r="I40" s="502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4837333.666666667</v>
      </c>
      <c r="E42" s="335">
        <f>AVERAGE(E38:E41)</f>
        <v>4955680.2671259008</v>
      </c>
      <c r="F42" s="334">
        <f>AVERAGE(F38:F41)</f>
        <v>5343210.333333333</v>
      </c>
      <c r="G42" s="336">
        <f>AVERAGE(G38:G41)</f>
        <v>5012460.6135199144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19.66</v>
      </c>
      <c r="E43" s="327"/>
      <c r="F43" s="339">
        <v>21.47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19.66</v>
      </c>
      <c r="E44" s="342"/>
      <c r="F44" s="341">
        <f>F43*$B$34</f>
        <v>21.47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625</v>
      </c>
      <c r="C45" s="340" t="s">
        <v>77</v>
      </c>
      <c r="D45" s="344">
        <f>D44*$B$30/100</f>
        <v>19.522380000000002</v>
      </c>
      <c r="E45" s="345"/>
      <c r="F45" s="344">
        <f>F44*$B$30/100</f>
        <v>21.319710000000001</v>
      </c>
      <c r="H45" s="337"/>
    </row>
    <row r="46" spans="1:14" ht="19.5" customHeight="1" x14ac:dyDescent="0.3">
      <c r="A46" s="503" t="s">
        <v>78</v>
      </c>
      <c r="B46" s="504"/>
      <c r="C46" s="340" t="s">
        <v>79</v>
      </c>
      <c r="D46" s="346">
        <f>D45/$B$45</f>
        <v>3.1235808000000004E-2</v>
      </c>
      <c r="E46" s="347"/>
      <c r="F46" s="348">
        <f>F45/$B$45</f>
        <v>3.4111535999999998E-2</v>
      </c>
      <c r="H46" s="337"/>
    </row>
    <row r="47" spans="1:14" ht="27" customHeight="1" x14ac:dyDescent="0.4">
      <c r="A47" s="505"/>
      <c r="B47" s="506"/>
      <c r="C47" s="349" t="s">
        <v>80</v>
      </c>
      <c r="D47" s="350">
        <v>3.2000000000000001E-2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20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20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4984070.4403229076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6.9862865257340001E-3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tablet contains: Sulfamethoxazole BP 800 mg and Trimethoprim BP 160 mg.</v>
      </c>
    </row>
    <row r="56" spans="1:12" ht="26.25" customHeight="1" x14ac:dyDescent="0.4">
      <c r="A56" s="364" t="s">
        <v>87</v>
      </c>
      <c r="B56" s="365">
        <v>160</v>
      </c>
      <c r="C56" s="286" t="str">
        <f>B20</f>
        <v>Sulfamethoxazole BP 800 mg &amp; Trimethoprim BP 160 mg</v>
      </c>
      <c r="H56" s="366"/>
    </row>
    <row r="57" spans="1:12" ht="18.75" x14ac:dyDescent="0.3">
      <c r="A57" s="363" t="s">
        <v>88</v>
      </c>
      <c r="B57" s="434">
        <f>Uniformity!C46</f>
        <v>1086.69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07" t="s">
        <v>94</v>
      </c>
      <c r="D60" s="510">
        <v>1084.83</v>
      </c>
      <c r="E60" s="369">
        <v>1</v>
      </c>
      <c r="F60" s="370">
        <v>5022382</v>
      </c>
      <c r="G60" s="435">
        <f>IF(ISBLANK(F60),"-",(F60/$D$50*$D$47*$B$68)*($B$57/$D$60))</f>
        <v>161.50632563211687</v>
      </c>
      <c r="H60" s="453">
        <f t="shared" ref="H60:H71" si="0">IF(ISBLANK(F60),"-",(G60/$B$56)*100)</f>
        <v>100.94145352007304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8"/>
      <c r="D61" s="511"/>
      <c r="E61" s="371">
        <v>2</v>
      </c>
      <c r="F61" s="324">
        <v>5039554</v>
      </c>
      <c r="G61" s="436">
        <f>IF(ISBLANK(F61),"-",(F61/$D$50*$D$47*$B$68)*($B$57/$D$60))</f>
        <v>162.0585310644704</v>
      </c>
      <c r="H61" s="454">
        <f t="shared" si="0"/>
        <v>101.28658191529401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8"/>
      <c r="D62" s="511"/>
      <c r="E62" s="371">
        <v>3</v>
      </c>
      <c r="F62" s="372">
        <v>5042534</v>
      </c>
      <c r="G62" s="436">
        <f>IF(ISBLANK(F62),"-",(F62/$D$50*$D$47*$B$68)*($B$57/$D$60))</f>
        <v>162.15435986649777</v>
      </c>
      <c r="H62" s="454">
        <f t="shared" si="0"/>
        <v>101.34647491656111</v>
      </c>
      <c r="L62" s="299"/>
    </row>
    <row r="63" spans="1:12" ht="27" customHeight="1" x14ac:dyDescent="0.4">
      <c r="A63" s="311" t="s">
        <v>97</v>
      </c>
      <c r="B63" s="312">
        <v>1</v>
      </c>
      <c r="C63" s="509"/>
      <c r="D63" s="512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7" t="s">
        <v>99</v>
      </c>
      <c r="D64" s="510">
        <v>1092.56</v>
      </c>
      <c r="E64" s="369">
        <v>1</v>
      </c>
      <c r="F64" s="370">
        <v>5071280</v>
      </c>
      <c r="G64" s="435">
        <f>IF(ISBLANK(F64),"-",(F64/$D$50*$D$47*$B$68)*($B$57/$D$64))</f>
        <v>161.92495129220927</v>
      </c>
      <c r="H64" s="453">
        <f t="shared" si="0"/>
        <v>101.20309455763079</v>
      </c>
    </row>
    <row r="65" spans="1:8" ht="26.25" customHeight="1" x14ac:dyDescent="0.4">
      <c r="A65" s="311" t="s">
        <v>100</v>
      </c>
      <c r="B65" s="312">
        <v>1</v>
      </c>
      <c r="C65" s="508"/>
      <c r="D65" s="511"/>
      <c r="E65" s="371">
        <v>2</v>
      </c>
      <c r="F65" s="324">
        <v>5070271</v>
      </c>
      <c r="G65" s="436">
        <f>IF(ISBLANK(F65),"-",(F65/$D$50*$D$47*$B$68)*($B$57/$D$64))</f>
        <v>161.89273412497462</v>
      </c>
      <c r="H65" s="454">
        <f t="shared" si="0"/>
        <v>101.18295882810915</v>
      </c>
    </row>
    <row r="66" spans="1:8" ht="26.25" customHeight="1" x14ac:dyDescent="0.4">
      <c r="A66" s="311" t="s">
        <v>101</v>
      </c>
      <c r="B66" s="312">
        <v>1</v>
      </c>
      <c r="C66" s="508"/>
      <c r="D66" s="511"/>
      <c r="E66" s="371">
        <v>3</v>
      </c>
      <c r="F66" s="324">
        <v>5069335</v>
      </c>
      <c r="G66" s="436">
        <f>IF(ISBLANK(F66),"-",(F66/$D$50*$D$47*$B$68)*($B$57/$D$64))</f>
        <v>161.86284783307011</v>
      </c>
      <c r="H66" s="454">
        <f t="shared" si="0"/>
        <v>101.16427989566881</v>
      </c>
    </row>
    <row r="67" spans="1:8" ht="27" customHeight="1" x14ac:dyDescent="0.4">
      <c r="A67" s="311" t="s">
        <v>102</v>
      </c>
      <c r="B67" s="312">
        <v>1</v>
      </c>
      <c r="C67" s="509"/>
      <c r="D67" s="512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507" t="s">
        <v>104</v>
      </c>
      <c r="D68" s="510">
        <v>1095.46</v>
      </c>
      <c r="E68" s="369">
        <v>1</v>
      </c>
      <c r="F68" s="370">
        <v>5085428</v>
      </c>
      <c r="G68" s="435">
        <f>IF(ISBLANK(F68),"-",(F68/$D$50*$D$47*$B$68)*($B$57/$D$68))</f>
        <v>161.94683593555061</v>
      </c>
      <c r="H68" s="454">
        <f t="shared" si="0"/>
        <v>101.21677245971914</v>
      </c>
    </row>
    <row r="69" spans="1:8" ht="27" customHeight="1" x14ac:dyDescent="0.4">
      <c r="A69" s="359" t="s">
        <v>105</v>
      </c>
      <c r="B69" s="376">
        <f>(D47*B68)/B56*B57</f>
        <v>1086.69</v>
      </c>
      <c r="C69" s="508"/>
      <c r="D69" s="511"/>
      <c r="E69" s="371">
        <v>2</v>
      </c>
      <c r="F69" s="324">
        <v>5070271</v>
      </c>
      <c r="G69" s="436">
        <f>IF(ISBLANK(F69),"-",(F69/$D$50*$D$47*$B$68)*($B$57/$D$68))</f>
        <v>161.46415715369093</v>
      </c>
      <c r="H69" s="454">
        <f t="shared" si="0"/>
        <v>100.91509822105684</v>
      </c>
    </row>
    <row r="70" spans="1:8" ht="26.25" customHeight="1" x14ac:dyDescent="0.4">
      <c r="A70" s="520" t="s">
        <v>78</v>
      </c>
      <c r="B70" s="521"/>
      <c r="C70" s="508"/>
      <c r="D70" s="511"/>
      <c r="E70" s="371">
        <v>3</v>
      </c>
      <c r="F70" s="324">
        <v>5064759</v>
      </c>
      <c r="G70" s="436">
        <f>IF(ISBLANK(F70),"-",(F70/$D$50*$D$47*$B$68)*($B$57/$D$68))</f>
        <v>161.28862601655229</v>
      </c>
      <c r="H70" s="454">
        <f t="shared" si="0"/>
        <v>100.80539126034517</v>
      </c>
    </row>
    <row r="71" spans="1:8" ht="27" customHeight="1" x14ac:dyDescent="0.4">
      <c r="A71" s="522"/>
      <c r="B71" s="523"/>
      <c r="C71" s="519"/>
      <c r="D71" s="512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161.78881876879254</v>
      </c>
      <c r="H72" s="456">
        <f>AVERAGE(H60:H71)</f>
        <v>101.11801173049533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1.8303512272417016E-3</v>
      </c>
      <c r="H73" s="440">
        <f>STDEV(H60:H71)/H72</f>
        <v>1.8303512272417229E-3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515" t="str">
        <f>B26</f>
        <v>trimethoprim</v>
      </c>
      <c r="D76" s="515"/>
      <c r="E76" s="385" t="s">
        <v>108</v>
      </c>
      <c r="F76" s="385"/>
      <c r="G76" s="472">
        <f>H72</f>
        <v>101.11801173049533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1" t="str">
        <f>B26</f>
        <v>trimethoprim</v>
      </c>
      <c r="C79" s="501"/>
    </row>
    <row r="80" spans="1:8" ht="26.25" customHeight="1" x14ac:dyDescent="0.4">
      <c r="A80" s="296" t="s">
        <v>48</v>
      </c>
      <c r="B80" s="501" t="str">
        <f>B27</f>
        <v>t7-4</v>
      </c>
      <c r="C80" s="501"/>
    </row>
    <row r="81" spans="1:12" ht="27" customHeight="1" x14ac:dyDescent="0.4">
      <c r="A81" s="296" t="s">
        <v>6</v>
      </c>
      <c r="B81" s="388">
        <f>B28</f>
        <v>99.3</v>
      </c>
    </row>
    <row r="82" spans="1:12" s="14" customFormat="1" ht="27" customHeight="1" x14ac:dyDescent="0.4">
      <c r="A82" s="296" t="s">
        <v>49</v>
      </c>
      <c r="B82" s="298">
        <v>0</v>
      </c>
      <c r="C82" s="492" t="s">
        <v>50</v>
      </c>
      <c r="D82" s="493"/>
      <c r="E82" s="493"/>
      <c r="F82" s="493"/>
      <c r="G82" s="494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99.3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5" t="s">
        <v>111</v>
      </c>
      <c r="D84" s="496"/>
      <c r="E84" s="496"/>
      <c r="F84" s="496"/>
      <c r="G84" s="496"/>
      <c r="H84" s="497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5" t="s">
        <v>112</v>
      </c>
      <c r="D85" s="496"/>
      <c r="E85" s="496"/>
      <c r="F85" s="496"/>
      <c r="G85" s="496"/>
      <c r="H85" s="49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25</v>
      </c>
      <c r="D89" s="389" t="s">
        <v>59</v>
      </c>
      <c r="E89" s="390"/>
      <c r="F89" s="498" t="s">
        <v>60</v>
      </c>
      <c r="G89" s="500"/>
    </row>
    <row r="90" spans="1:12" ht="27" customHeight="1" x14ac:dyDescent="0.4">
      <c r="A90" s="311" t="s">
        <v>61</v>
      </c>
      <c r="B90" s="312">
        <v>4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100</v>
      </c>
      <c r="C91" s="393">
        <v>1</v>
      </c>
      <c r="D91" s="319">
        <v>4844681</v>
      </c>
      <c r="E91" s="320">
        <f>IF(ISBLANK(D91),"-",$D$101/$D$98*D91)</f>
        <v>5514674.8387121735</v>
      </c>
      <c r="F91" s="319">
        <v>5336796</v>
      </c>
      <c r="G91" s="321">
        <f>IF(ISBLANK(F91),"-",$D$101/$F$98*F91)</f>
        <v>5562714.8149138363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4838814</v>
      </c>
      <c r="E92" s="325">
        <f>IF(ISBLANK(D92),"-",$D$101/$D$98*D92)</f>
        <v>5507996.4635459399</v>
      </c>
      <c r="F92" s="324">
        <v>5370622</v>
      </c>
      <c r="G92" s="326">
        <f>IF(ISBLANK(F92),"-",$D$101/$F$98*F92)</f>
        <v>5597972.7470756192</v>
      </c>
      <c r="I92" s="502">
        <f>ABS((F96/D96*D95)-F95)/D95</f>
        <v>1.251247693705298E-2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4828506</v>
      </c>
      <c r="E93" s="325">
        <f>IF(ISBLANK(D93),"-",$D$101/$D$98*D93)</f>
        <v>5496262.9214948853</v>
      </c>
      <c r="F93" s="324">
        <v>5322213</v>
      </c>
      <c r="G93" s="326">
        <f>IF(ISBLANK(F93),"-",$D$101/$F$98*F93)</f>
        <v>5547514.4830769273</v>
      </c>
      <c r="I93" s="502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4837333.666666667</v>
      </c>
      <c r="E95" s="335">
        <f>AVERAGE(E91:E94)</f>
        <v>5506311.4079176662</v>
      </c>
      <c r="F95" s="398">
        <f>AVERAGE(F91:F94)</f>
        <v>5343210.333333333</v>
      </c>
      <c r="G95" s="399">
        <f>AVERAGE(G91:G94)</f>
        <v>5569400.6816887939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19.66</v>
      </c>
      <c r="E96" s="327"/>
      <c r="F96" s="339">
        <v>21.47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19.66</v>
      </c>
      <c r="E97" s="342"/>
      <c r="F97" s="341">
        <f>F96*$B$87</f>
        <v>21.47</v>
      </c>
    </row>
    <row r="98" spans="1:10" ht="19.5" customHeight="1" x14ac:dyDescent="0.3">
      <c r="A98" s="311" t="s">
        <v>76</v>
      </c>
      <c r="B98" s="404">
        <f>(B97/B96)*(B95/B94)*(B93/B92)*(B91/B90)*B89</f>
        <v>625</v>
      </c>
      <c r="C98" s="402" t="s">
        <v>115</v>
      </c>
      <c r="D98" s="405">
        <f>D97*$B$83/100</f>
        <v>19.522380000000002</v>
      </c>
      <c r="E98" s="345"/>
      <c r="F98" s="344">
        <f>F97*$B$83/100</f>
        <v>21.319710000000001</v>
      </c>
    </row>
    <row r="99" spans="1:10" ht="19.5" customHeight="1" x14ac:dyDescent="0.3">
      <c r="A99" s="503" t="s">
        <v>78</v>
      </c>
      <c r="B99" s="517"/>
      <c r="C99" s="402" t="s">
        <v>116</v>
      </c>
      <c r="D99" s="406">
        <f>D98/$B$98</f>
        <v>3.1235808000000004E-2</v>
      </c>
      <c r="E99" s="345"/>
      <c r="F99" s="348">
        <f>F98/$B$98</f>
        <v>3.4111535999999998E-2</v>
      </c>
      <c r="G99" s="407"/>
      <c r="H99" s="337"/>
    </row>
    <row r="100" spans="1:10" ht="19.5" customHeight="1" x14ac:dyDescent="0.3">
      <c r="A100" s="505"/>
      <c r="B100" s="518"/>
      <c r="C100" s="402" t="s">
        <v>80</v>
      </c>
      <c r="D100" s="408">
        <f>$B$56/$B$116</f>
        <v>3.5555555555555556E-2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22.222222222222221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22.222222222222221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5537856.0448032301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6.9862865257340999E-3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4</v>
      </c>
      <c r="C108" s="462">
        <v>1</v>
      </c>
      <c r="D108" s="463">
        <v>5652027</v>
      </c>
      <c r="E108" s="437">
        <f t="shared" ref="E108:E113" si="1">IF(ISBLANK(D108),"-",D108/$D$103*$D$100*$B$116)</f>
        <v>163.29863266283809</v>
      </c>
      <c r="F108" s="464">
        <f t="shared" ref="F108:F113" si="2">IF(ISBLANK(D108), "-", (E108/$B$56)*100)</f>
        <v>102.06164541427381</v>
      </c>
    </row>
    <row r="109" spans="1:10" ht="26.25" customHeight="1" x14ac:dyDescent="0.4">
      <c r="A109" s="311" t="s">
        <v>95</v>
      </c>
      <c r="B109" s="312">
        <v>20</v>
      </c>
      <c r="C109" s="458">
        <v>2</v>
      </c>
      <c r="D109" s="460">
        <v>5622112</v>
      </c>
      <c r="E109" s="438">
        <f t="shared" si="1"/>
        <v>162.43432706130628</v>
      </c>
      <c r="F109" s="465">
        <f t="shared" si="2"/>
        <v>101.52145441331642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5578328</v>
      </c>
      <c r="E110" s="438">
        <f t="shared" si="1"/>
        <v>161.1693176527331</v>
      </c>
      <c r="F110" s="465">
        <f t="shared" si="2"/>
        <v>100.7308235329582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5629369</v>
      </c>
      <c r="E111" s="438">
        <f t="shared" si="1"/>
        <v>162.64399665015191</v>
      </c>
      <c r="F111" s="465">
        <f t="shared" si="2"/>
        <v>101.65249790634493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5670488</v>
      </c>
      <c r="E112" s="438">
        <f t="shared" si="1"/>
        <v>163.83200875208686</v>
      </c>
      <c r="F112" s="465">
        <f t="shared" si="2"/>
        <v>102.39500547005429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5649669</v>
      </c>
      <c r="E113" s="439">
        <f t="shared" si="1"/>
        <v>163.2305052147882</v>
      </c>
      <c r="F113" s="466">
        <f t="shared" si="2"/>
        <v>102.01906575924262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162.76813133231738</v>
      </c>
      <c r="F115" s="468">
        <f>AVERAGE(F108:F113)</f>
        <v>101.73008208269839</v>
      </c>
    </row>
    <row r="116" spans="1:10" ht="27" customHeight="1" x14ac:dyDescent="0.4">
      <c r="A116" s="311" t="s">
        <v>103</v>
      </c>
      <c r="B116" s="343">
        <f>(B115/B114)*(B113/B112)*(B111/B110)*(B109/B108)*B107</f>
        <v>4500</v>
      </c>
      <c r="C116" s="421"/>
      <c r="D116" s="445" t="s">
        <v>84</v>
      </c>
      <c r="E116" s="443">
        <f>STDEV(E108:E113)/E115</f>
        <v>5.7041259762864831E-3</v>
      </c>
      <c r="F116" s="422">
        <f>STDEV(F108:F113)/F115</f>
        <v>5.7041259762864492E-3</v>
      </c>
      <c r="I116" s="285"/>
    </row>
    <row r="117" spans="1:10" ht="27" customHeight="1" x14ac:dyDescent="0.4">
      <c r="A117" s="503" t="s">
        <v>78</v>
      </c>
      <c r="B117" s="504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05"/>
      <c r="B118" s="506"/>
      <c r="C118" s="285"/>
      <c r="D118" s="447"/>
      <c r="E118" s="483" t="s">
        <v>123</v>
      </c>
      <c r="F118" s="484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161.1693176527331</v>
      </c>
      <c r="F119" s="469">
        <f>MIN(F108:F113)</f>
        <v>100.7308235329582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163.83200875208686</v>
      </c>
      <c r="F120" s="470">
        <f>MAX(F108:F113)</f>
        <v>102.39500547005429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15" t="str">
        <f>B26</f>
        <v>trimethoprim</v>
      </c>
      <c r="D124" s="515"/>
      <c r="E124" s="385" t="s">
        <v>127</v>
      </c>
      <c r="F124" s="385"/>
      <c r="G124" s="471">
        <f>F115</f>
        <v>101.73008208269839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100.7308235329582</v>
      </c>
      <c r="E125" s="396" t="s">
        <v>130</v>
      </c>
      <c r="F125" s="471">
        <f>MAX(F108:F113)</f>
        <v>102.39500547005429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6" t="s">
        <v>26</v>
      </c>
      <c r="C127" s="516"/>
      <c r="E127" s="391" t="s">
        <v>27</v>
      </c>
      <c r="F127" s="426"/>
      <c r="G127" s="516" t="s">
        <v>28</v>
      </c>
      <c r="H127" s="516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15" zoomScale="50" zoomScaleNormal="50" workbookViewId="0">
      <selection activeCell="A15" sqref="A15:G63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C17" s="72"/>
      <c r="D17" s="9"/>
      <c r="E17" s="72"/>
    </row>
    <row r="18" spans="1:5" ht="16.5" customHeight="1" x14ac:dyDescent="0.3">
      <c r="A18" s="75" t="s">
        <v>4</v>
      </c>
      <c r="B18" s="524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99.3</v>
      </c>
      <c r="C19" s="72"/>
      <c r="D19" s="72"/>
      <c r="E19" s="72"/>
    </row>
    <row r="20" spans="1:5" ht="16.5" customHeight="1" x14ac:dyDescent="0.3">
      <c r="A20" s="8" t="s">
        <v>8</v>
      </c>
      <c r="B20" s="12">
        <v>19.66</v>
      </c>
      <c r="C20" s="72"/>
      <c r="D20" s="72"/>
      <c r="E20" s="72"/>
    </row>
    <row r="21" spans="1:5" ht="16.5" customHeight="1" x14ac:dyDescent="0.3">
      <c r="A21" s="8" t="s">
        <v>10</v>
      </c>
      <c r="B21" s="525">
        <f>19.66/25*4/100</f>
        <v>3.1455999999999998E-2</v>
      </c>
      <c r="C21" s="72"/>
      <c r="D21" s="72"/>
      <c r="E21" s="72"/>
    </row>
    <row r="22" spans="1:5" ht="15.75" customHeight="1" x14ac:dyDescent="0.25">
      <c r="A22" s="72"/>
      <c r="B22" s="72" t="s">
        <v>135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4878606</v>
      </c>
      <c r="C24" s="18">
        <v>9027.1</v>
      </c>
      <c r="D24" s="19">
        <v>1.1000000000000001</v>
      </c>
      <c r="E24" s="20">
        <v>5.3</v>
      </c>
    </row>
    <row r="25" spans="1:5" ht="16.5" customHeight="1" x14ac:dyDescent="0.3">
      <c r="A25" s="17">
        <v>2</v>
      </c>
      <c r="B25" s="18">
        <v>4825829</v>
      </c>
      <c r="C25" s="18">
        <v>9055.2999999999993</v>
      </c>
      <c r="D25" s="19">
        <v>1.1000000000000001</v>
      </c>
      <c r="E25" s="19">
        <v>5.3</v>
      </c>
    </row>
    <row r="26" spans="1:5" ht="16.5" customHeight="1" x14ac:dyDescent="0.3">
      <c r="A26" s="17">
        <v>3</v>
      </c>
      <c r="B26" s="18">
        <v>4858567</v>
      </c>
      <c r="C26" s="18">
        <v>9006.6</v>
      </c>
      <c r="D26" s="19">
        <v>1.1000000000000001</v>
      </c>
      <c r="E26" s="19">
        <v>5.3</v>
      </c>
    </row>
    <row r="27" spans="1:5" ht="16.5" customHeight="1" x14ac:dyDescent="0.3">
      <c r="A27" s="17">
        <v>4</v>
      </c>
      <c r="B27" s="18">
        <v>4872946</v>
      </c>
      <c r="C27" s="18">
        <v>8972.2000000000007</v>
      </c>
      <c r="D27" s="19">
        <v>1.1000000000000001</v>
      </c>
      <c r="E27" s="19">
        <v>5.3</v>
      </c>
    </row>
    <row r="28" spans="1:5" ht="16.5" customHeight="1" x14ac:dyDescent="0.3">
      <c r="A28" s="17">
        <v>5</v>
      </c>
      <c r="B28" s="18">
        <v>4872334</v>
      </c>
      <c r="C28" s="18">
        <v>8987.2000000000007</v>
      </c>
      <c r="D28" s="19">
        <v>1.1000000000000001</v>
      </c>
      <c r="E28" s="19">
        <v>5.3</v>
      </c>
    </row>
    <row r="29" spans="1:5" ht="16.5" customHeight="1" x14ac:dyDescent="0.3">
      <c r="A29" s="17">
        <v>6</v>
      </c>
      <c r="B29" s="21">
        <v>4862797</v>
      </c>
      <c r="C29" s="21">
        <v>9037.6</v>
      </c>
      <c r="D29" s="22">
        <v>1.1000000000000001</v>
      </c>
      <c r="E29" s="22">
        <v>5.3</v>
      </c>
    </row>
    <row r="30" spans="1:5" ht="16.5" customHeight="1" x14ac:dyDescent="0.3">
      <c r="A30" s="23" t="s">
        <v>18</v>
      </c>
      <c r="B30" s="24">
        <f>AVERAGE(B24:B29)</f>
        <v>4861846.5</v>
      </c>
      <c r="C30" s="25">
        <f>AVERAGE(C24:C29)</f>
        <v>9014.3333333333321</v>
      </c>
      <c r="D30" s="26">
        <f>AVERAGE(D24:D29)</f>
        <v>1.0999999999999999</v>
      </c>
      <c r="E30" s="26">
        <f>AVERAGE(E24:E29)</f>
        <v>5.3</v>
      </c>
    </row>
    <row r="31" spans="1:5" ht="16.5" customHeight="1" x14ac:dyDescent="0.3">
      <c r="A31" s="27" t="s">
        <v>19</v>
      </c>
      <c r="B31" s="28">
        <f>(STDEV(B24:B29)/B30)</f>
        <v>3.9274028785402813E-3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524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99.3</v>
      </c>
      <c r="C40" s="72"/>
      <c r="D40" s="72"/>
      <c r="E40" s="72"/>
    </row>
    <row r="41" spans="1:5" ht="16.5" customHeight="1" x14ac:dyDescent="0.3">
      <c r="A41" s="8" t="s">
        <v>8</v>
      </c>
      <c r="B41" s="12">
        <v>19.66</v>
      </c>
      <c r="C41" s="72"/>
      <c r="D41" s="72"/>
      <c r="E41" s="72"/>
    </row>
    <row r="42" spans="1:5" ht="16.5" customHeight="1" x14ac:dyDescent="0.3">
      <c r="A42" s="8" t="s">
        <v>10</v>
      </c>
      <c r="B42" s="525">
        <f>19.66/25*4/100</f>
        <v>3.1455999999999998E-2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4878606</v>
      </c>
      <c r="C45" s="18">
        <v>9027.1</v>
      </c>
      <c r="D45" s="19">
        <v>1.1000000000000001</v>
      </c>
      <c r="E45" s="20">
        <v>5.3</v>
      </c>
    </row>
    <row r="46" spans="1:5" ht="16.5" customHeight="1" x14ac:dyDescent="0.3">
      <c r="A46" s="17">
        <v>2</v>
      </c>
      <c r="B46" s="18">
        <v>4825829</v>
      </c>
      <c r="C46" s="18">
        <v>9055.2999999999993</v>
      </c>
      <c r="D46" s="19">
        <v>1.1000000000000001</v>
      </c>
      <c r="E46" s="19">
        <v>5.3</v>
      </c>
    </row>
    <row r="47" spans="1:5" ht="16.5" customHeight="1" x14ac:dyDescent="0.3">
      <c r="A47" s="17">
        <v>3</v>
      </c>
      <c r="B47" s="18">
        <v>4858567</v>
      </c>
      <c r="C47" s="18">
        <v>9006.6</v>
      </c>
      <c r="D47" s="19">
        <v>1.1000000000000001</v>
      </c>
      <c r="E47" s="19">
        <v>5.3</v>
      </c>
    </row>
    <row r="48" spans="1:5" ht="16.5" customHeight="1" x14ac:dyDescent="0.3">
      <c r="A48" s="17">
        <v>4</v>
      </c>
      <c r="B48" s="18">
        <v>4872946</v>
      </c>
      <c r="C48" s="18">
        <v>8972.2000000000007</v>
      </c>
      <c r="D48" s="19">
        <v>1.1000000000000001</v>
      </c>
      <c r="E48" s="19">
        <v>5.3</v>
      </c>
    </row>
    <row r="49" spans="1:7" ht="16.5" customHeight="1" x14ac:dyDescent="0.3">
      <c r="A49" s="17">
        <v>5</v>
      </c>
      <c r="B49" s="18">
        <v>4872334</v>
      </c>
      <c r="C49" s="18">
        <v>8987.2000000000007</v>
      </c>
      <c r="D49" s="19">
        <v>1.1000000000000001</v>
      </c>
      <c r="E49" s="19">
        <v>5.3</v>
      </c>
    </row>
    <row r="50" spans="1:7" ht="16.5" customHeight="1" x14ac:dyDescent="0.3">
      <c r="A50" s="17">
        <v>6</v>
      </c>
      <c r="B50" s="21">
        <v>4862797</v>
      </c>
      <c r="C50" s="21">
        <v>9037.6</v>
      </c>
      <c r="D50" s="22">
        <v>1.1000000000000001</v>
      </c>
      <c r="E50" s="22">
        <v>5.3</v>
      </c>
    </row>
    <row r="51" spans="1:7" ht="16.5" customHeight="1" x14ac:dyDescent="0.3">
      <c r="A51" s="23" t="s">
        <v>18</v>
      </c>
      <c r="B51" s="24">
        <f>AVERAGE(B45:B50)</f>
        <v>4861846.5</v>
      </c>
      <c r="C51" s="25">
        <f>AVERAGE(C45:C50)</f>
        <v>9014.3333333333321</v>
      </c>
      <c r="D51" s="26">
        <f>AVERAGE(D45:D50)</f>
        <v>1.0999999999999999</v>
      </c>
      <c r="E51" s="26">
        <f>AVERAGE(E45:E50)</f>
        <v>5.3</v>
      </c>
    </row>
    <row r="52" spans="1:7" ht="16.5" customHeight="1" x14ac:dyDescent="0.3">
      <c r="A52" s="27" t="s">
        <v>19</v>
      </c>
      <c r="B52" s="28">
        <f>(STDEV(B45:B50)/B51)</f>
        <v>3.9274028785402813E-3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sulfa sst</vt:lpstr>
      <vt:lpstr>Uniformity</vt:lpstr>
      <vt:lpstr>sulfamethoxazole</vt:lpstr>
      <vt:lpstr>trimethoprim</vt:lpstr>
      <vt:lpstr>trim sst</vt:lpstr>
      <vt:lpstr>'sulfa sst'!Print_Area</vt:lpstr>
      <vt:lpstr>sulfamethoxazole!Print_Area</vt:lpstr>
      <vt:lpstr>'trim sst'!Print_Area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2018-03-01T10:28:25Z</cp:lastPrinted>
  <dcterms:created xsi:type="dcterms:W3CDTF">2005-07-05T10:19:27Z</dcterms:created>
  <dcterms:modified xsi:type="dcterms:W3CDTF">2018-03-01T13:10:23Z</dcterms:modified>
</cp:coreProperties>
</file>