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 activeTab="2"/>
  </bookViews>
  <sheets>
    <sheet name="SST" sheetId="1" r:id="rId1"/>
    <sheet name="Uniformity" sheetId="2" r:id="rId2"/>
    <sheet name="RITONAVIR" sheetId="3" r:id="rId3"/>
  </sheets>
  <definedNames>
    <definedName name="_xlnm.Print_Area" localSheetId="2">RITONAVIR!$A$1:$I$130</definedName>
    <definedName name="_xlnm.Print_Area" localSheetId="0">SST!$A$15:$G$62</definedName>
    <definedName name="_xlnm.Print_Area" localSheetId="1">Uniformity!$A$11:$F$55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C124" i="3"/>
  <c r="B116" i="3"/>
  <c r="D100" i="3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9" i="3" s="1"/>
  <c r="F42" i="3"/>
  <c r="D42" i="3"/>
  <c r="I39" i="3" s="1"/>
  <c r="B34" i="3"/>
  <c r="D44" i="3" s="1"/>
  <c r="B30" i="3"/>
  <c r="C46" i="2"/>
  <c r="B57" i="3" s="1"/>
  <c r="C45" i="2"/>
  <c r="D41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8" i="3" l="1"/>
  <c r="F99" i="3" s="1"/>
  <c r="D101" i="3"/>
  <c r="G92" i="3" s="1"/>
  <c r="F44" i="3"/>
  <c r="D45" i="3"/>
  <c r="D46" i="3" s="1"/>
  <c r="F45" i="3"/>
  <c r="G39" i="3" s="1"/>
  <c r="B69" i="3"/>
  <c r="G94" i="3"/>
  <c r="E94" i="3"/>
  <c r="G93" i="3"/>
  <c r="C50" i="2"/>
  <c r="D97" i="3"/>
  <c r="D98" i="3" s="1"/>
  <c r="D99" i="3" s="1"/>
  <c r="D26" i="2"/>
  <c r="D30" i="2"/>
  <c r="D34" i="2"/>
  <c r="D38" i="2"/>
  <c r="D42" i="2"/>
  <c r="B49" i="2"/>
  <c r="D50" i="2"/>
  <c r="D27" i="2"/>
  <c r="D31" i="2"/>
  <c r="D35" i="2"/>
  <c r="D39" i="2"/>
  <c r="D43" i="2"/>
  <c r="C49" i="2"/>
  <c r="D24" i="2"/>
  <c r="D28" i="2"/>
  <c r="D32" i="2"/>
  <c r="D36" i="2"/>
  <c r="D40" i="2"/>
  <c r="D49" i="2"/>
  <c r="E93" i="3" l="1"/>
  <c r="D102" i="3"/>
  <c r="G91" i="3"/>
  <c r="G95" i="3" s="1"/>
  <c r="G38" i="3"/>
  <c r="E38" i="3"/>
  <c r="E40" i="3"/>
  <c r="E41" i="3"/>
  <c r="E39" i="3"/>
  <c r="G40" i="3"/>
  <c r="G41" i="3"/>
  <c r="F46" i="3"/>
  <c r="E92" i="3"/>
  <c r="E91" i="3"/>
  <c r="E42" i="3" l="1"/>
  <c r="D50" i="3"/>
  <c r="D51" i="3" s="1"/>
  <c r="G42" i="3"/>
  <c r="D52" i="3"/>
  <c r="D103" i="3"/>
  <c r="E95" i="3"/>
  <c r="D105" i="3"/>
  <c r="G65" i="3" l="1"/>
  <c r="H65" i="3" s="1"/>
  <c r="G67" i="3"/>
  <c r="H67" i="3" s="1"/>
  <c r="G66" i="3"/>
  <c r="H66" i="3" s="1"/>
  <c r="G71" i="3"/>
  <c r="H71" i="3" s="1"/>
  <c r="G62" i="3"/>
  <c r="H62" i="3" s="1"/>
  <c r="G68" i="3"/>
  <c r="H68" i="3" s="1"/>
  <c r="G70" i="3"/>
  <c r="H70" i="3" s="1"/>
  <c r="G64" i="3"/>
  <c r="H64" i="3" s="1"/>
  <c r="G61" i="3"/>
  <c r="H61" i="3" s="1"/>
  <c r="G60" i="3"/>
  <c r="G69" i="3"/>
  <c r="H69" i="3" s="1"/>
  <c r="G63" i="3"/>
  <c r="H63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4" i="3" l="1"/>
  <c r="H60" i="3"/>
  <c r="H74" i="3" s="1"/>
  <c r="G72" i="3"/>
  <c r="G73" i="3" s="1"/>
  <c r="E120" i="3"/>
  <c r="E117" i="3"/>
  <c r="F108" i="3"/>
  <c r="E115" i="3"/>
  <c r="E116" i="3" s="1"/>
  <c r="E119" i="3"/>
  <c r="H72" i="3" l="1"/>
  <c r="G76" i="3" s="1"/>
  <c r="F125" i="3"/>
  <c r="F120" i="3"/>
  <c r="F117" i="3"/>
  <c r="D125" i="3"/>
  <c r="F115" i="3"/>
  <c r="F119" i="3"/>
  <c r="H73" i="3" l="1"/>
  <c r="G124" i="3"/>
  <c r="F116" i="3"/>
</calcChain>
</file>

<file path=xl/sharedStrings.xml><?xml version="1.0" encoding="utf-8"?>
<sst xmlns="http://schemas.openxmlformats.org/spreadsheetml/2006/main" count="240" uniqueCount="135">
  <si>
    <t>HPLC System Suitability Report</t>
  </si>
  <si>
    <t>Analysis Data</t>
  </si>
  <si>
    <t>Assay</t>
  </si>
  <si>
    <t>Sample(s)</t>
  </si>
  <si>
    <t>Reference Substance:</t>
  </si>
  <si>
    <t>NORVIR™ 100 mg TABLETS</t>
  </si>
  <si>
    <t>% age Purity:</t>
  </si>
  <si>
    <t>NDQB201802329</t>
  </si>
  <si>
    <t>Weight (mg):</t>
  </si>
  <si>
    <t>Ritonavir</t>
  </si>
  <si>
    <t>Standard Conc (mg/mL):</t>
  </si>
  <si>
    <t>Each film-coated tablet contains  100 mg Ritonavir.</t>
  </si>
  <si>
    <t>2018-02-22 14:31:22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</si>
  <si>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</si>
  <si>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</si>
  <si>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</si>
  <si>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</si>
  <si>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</si>
  <si>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</si>
  <si>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</si>
  <si>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</si>
  <si>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</si>
  <si>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</si>
  <si>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</si>
  <si>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</si>
  <si>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</si>
  <si>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</si>
  <si>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</si>
  <si>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</si>
  <si>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</si>
  <si>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</si>
  <si>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</si>
  <si>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</si>
  <si>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</si>
  <si>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</si>
  <si>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</si>
  <si>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</si>
  <si>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</si>
  <si>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</si>
  <si>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</si>
  <si>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</si>
  <si>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</si>
  <si>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</si>
  <si>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</si>
  <si>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</si>
  <si>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</si>
  <si>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</si>
  <si>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</si>
  <si>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</si>
  <si>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</si>
  <si>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</si>
  <si>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</si>
  <si>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</si>
  <si>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</si>
  <si>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</si>
  <si>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</si>
  <si>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</si>
  <si>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</si>
  <si>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</si>
  <si>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</si>
  <si>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</si>
  <si>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</si>
  <si>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</si>
  <si>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</si>
  <si>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</si>
  <si>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</si>
  <si>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</si>
  <si>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</si>
  <si>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</si>
  <si>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</si>
  <si>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</si>
  <si>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</si>
  <si>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</si>
  <si>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</si>
  <si>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</si>
  <si>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</si>
  <si>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</si>
  <si>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</si>
  <si>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</si>
  <si>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</si>
  <si>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</si>
  <si>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</si>
  <si>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</si>
  <si>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</si>
  <si>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</si>
  <si>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</si>
  <si>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</si>
  <si>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</si>
  <si>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</si>
  <si>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</si>
  <si>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</si>
  <si>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</si>
  <si>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</si>
  <si>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</si>
  <si>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</si>
  <si>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</si>
  <si>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</si>
  <si>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</si>
  <si>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</si>
  <si>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</si>
  <si>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</si>
  <si>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</si>
  <si>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</si>
  <si>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</si>
  <si>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</si>
  <si>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</si>
  <si>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</si>
  <si>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</si>
  <si>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</si>
  <si>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</si>
  <si>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</si>
  <si>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</si>
  <si>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</si>
  <si>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</si>
  <si>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</si>
  <si>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</si>
  <si>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</si>
  <si>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</si>
  <si>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</si>
  <si>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</si>
  <si>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</si>
  <si>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</si>
  <si>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</si>
  <si>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</si>
  <si>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</si>
  <si>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</si>
  <si>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</si>
  <si>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</si>
  <si>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</si>
  <si>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</si>
  <si>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</si>
  <si>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RITONAVIR</t>
  </si>
  <si>
    <t>R14-3</t>
  </si>
  <si>
    <t>SHARON</t>
  </si>
  <si>
    <t>PETER NGUMO/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</si>
</sst>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C51" sqref="C51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285">
        <v>97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24.68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0.49359999999999998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58119145</v>
      </c>
      <c r="C24" s="18">
        <v>13735.76</v>
      </c>
      <c r="D24" s="19">
        <v>1.03</v>
      </c>
      <c r="E24" s="20">
        <v>15.14</v>
      </c>
    </row>
    <row r="25" spans="1:6" ht="16.5" customHeight="1" x14ac:dyDescent="0.3">
      <c r="A25" s="17">
        <v>2</v>
      </c>
      <c r="B25" s="18">
        <v>58149661</v>
      </c>
      <c r="C25" s="18">
        <v>13769.2</v>
      </c>
      <c r="D25" s="19">
        <v>1.03</v>
      </c>
      <c r="E25" s="19">
        <v>15.14</v>
      </c>
    </row>
    <row r="26" spans="1:6" ht="16.5" customHeight="1" x14ac:dyDescent="0.3">
      <c r="A26" s="17">
        <v>3</v>
      </c>
      <c r="B26" s="18">
        <v>58450207</v>
      </c>
      <c r="C26" s="18">
        <v>13750.19</v>
      </c>
      <c r="D26" s="19">
        <v>1.03</v>
      </c>
      <c r="E26" s="19">
        <v>15.15</v>
      </c>
    </row>
    <row r="27" spans="1:6" ht="16.5" customHeight="1" x14ac:dyDescent="0.3">
      <c r="A27" s="17">
        <v>4</v>
      </c>
      <c r="B27" s="18">
        <v>58328855</v>
      </c>
      <c r="C27" s="18">
        <v>13730.88</v>
      </c>
      <c r="D27" s="19">
        <v>1.03</v>
      </c>
      <c r="E27" s="19">
        <v>15.15</v>
      </c>
    </row>
    <row r="28" spans="1:6" ht="16.5" customHeight="1" x14ac:dyDescent="0.3">
      <c r="A28" s="17">
        <v>5</v>
      </c>
      <c r="B28" s="18">
        <v>57969944</v>
      </c>
      <c r="C28" s="18">
        <v>13707.31</v>
      </c>
      <c r="D28" s="19">
        <v>1.02</v>
      </c>
      <c r="E28" s="19">
        <v>15.15</v>
      </c>
    </row>
    <row r="29" spans="1:6" ht="16.5" customHeight="1" x14ac:dyDescent="0.3">
      <c r="A29" s="17">
        <v>6</v>
      </c>
      <c r="B29" s="21">
        <v>58302771</v>
      </c>
      <c r="C29" s="21">
        <v>13689.57</v>
      </c>
      <c r="D29" s="22">
        <v>1.02</v>
      </c>
      <c r="E29" s="22">
        <v>15.13</v>
      </c>
    </row>
    <row r="30" spans="1:6" ht="16.5" customHeight="1" x14ac:dyDescent="0.3">
      <c r="A30" s="23" t="s">
        <v>18</v>
      </c>
      <c r="B30" s="24">
        <f>AVERAGE(B24:B29)</f>
        <v>58220097.166666664</v>
      </c>
      <c r="C30" s="25">
        <f>AVERAGE(C24:C29)</f>
        <v>13730.485000000001</v>
      </c>
      <c r="D30" s="25">
        <f>AVERAGE(D24:D29)</f>
        <v>1.0266666666666666</v>
      </c>
      <c r="E30" s="25">
        <f>AVERAGE(E24:E29)</f>
        <v>15.143333333333333</v>
      </c>
    </row>
    <row r="31" spans="1:6" ht="16.5" customHeight="1" x14ac:dyDescent="0.3">
      <c r="A31" s="26" t="s">
        <v>19</v>
      </c>
      <c r="B31" s="27">
        <f>(STDEV(B24:B29)/B30)</f>
        <v>2.9684822488654566E-3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3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1"/>
      <c r="B35" s="36" t="s">
        <v>23</v>
      </c>
      <c r="C35" s="37"/>
      <c r="D35" s="37"/>
      <c r="E35" s="38"/>
      <c r="F35" s="2"/>
    </row>
    <row r="36" spans="1:6" ht="16.5" customHeight="1" x14ac:dyDescent="0.3">
      <c r="A36" s="11"/>
      <c r="B36" s="39" t="s">
        <v>24</v>
      </c>
      <c r="C36" s="37"/>
      <c r="D36" s="37"/>
      <c r="E36" s="37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97</v>
      </c>
      <c r="C40" s="10"/>
      <c r="D40" s="10"/>
      <c r="E40" s="10"/>
    </row>
    <row r="41" spans="1:6" ht="16.5" customHeight="1" x14ac:dyDescent="0.3">
      <c r="A41" s="7" t="s">
        <v>8</v>
      </c>
      <c r="B41" s="12">
        <v>24.68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B41/50*4/20</f>
        <v>9.8720000000000002E-2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58119145</v>
      </c>
      <c r="C45" s="18">
        <v>13735.76</v>
      </c>
      <c r="D45" s="19">
        <v>1.03</v>
      </c>
      <c r="E45" s="20">
        <v>15.14</v>
      </c>
    </row>
    <row r="46" spans="1:6" ht="16.5" customHeight="1" x14ac:dyDescent="0.3">
      <c r="A46" s="17">
        <v>2</v>
      </c>
      <c r="B46" s="18">
        <v>58149661</v>
      </c>
      <c r="C46" s="18">
        <v>13769.2</v>
      </c>
      <c r="D46" s="19">
        <v>1.03</v>
      </c>
      <c r="E46" s="19">
        <v>15.14</v>
      </c>
    </row>
    <row r="47" spans="1:6" ht="16.5" customHeight="1" x14ac:dyDescent="0.3">
      <c r="A47" s="17">
        <v>3</v>
      </c>
      <c r="B47" s="18">
        <v>58450207</v>
      </c>
      <c r="C47" s="18">
        <v>13750.19</v>
      </c>
      <c r="D47" s="19">
        <v>1.03</v>
      </c>
      <c r="E47" s="19">
        <v>15.15</v>
      </c>
    </row>
    <row r="48" spans="1:6" ht="16.5" customHeight="1" x14ac:dyDescent="0.3">
      <c r="A48" s="17">
        <v>4</v>
      </c>
      <c r="B48" s="18">
        <v>58328855</v>
      </c>
      <c r="C48" s="18">
        <v>13730.88</v>
      </c>
      <c r="D48" s="19">
        <v>1.03</v>
      </c>
      <c r="E48" s="19">
        <v>15.15</v>
      </c>
    </row>
    <row r="49" spans="1:7" ht="16.5" customHeight="1" x14ac:dyDescent="0.3">
      <c r="A49" s="17">
        <v>5</v>
      </c>
      <c r="B49" s="18">
        <v>57969944</v>
      </c>
      <c r="C49" s="18">
        <v>13707.31</v>
      </c>
      <c r="D49" s="19">
        <v>1.02</v>
      </c>
      <c r="E49" s="19">
        <v>15.15</v>
      </c>
    </row>
    <row r="50" spans="1:7" ht="16.5" customHeight="1" x14ac:dyDescent="0.3">
      <c r="A50" s="17">
        <v>6</v>
      </c>
      <c r="B50" s="21">
        <v>58302771</v>
      </c>
      <c r="C50" s="21">
        <v>13689.57</v>
      </c>
      <c r="D50" s="22">
        <v>1.02</v>
      </c>
      <c r="E50" s="22">
        <v>15.13</v>
      </c>
    </row>
    <row r="51" spans="1:7" ht="16.5" customHeight="1" x14ac:dyDescent="0.3">
      <c r="A51" s="23" t="s">
        <v>18</v>
      </c>
      <c r="B51" s="24">
        <f>AVERAGE(B45:B50)</f>
        <v>58220097.166666664</v>
      </c>
      <c r="C51" s="25">
        <f>AVERAGE(C45:C50)</f>
        <v>13730.485000000001</v>
      </c>
      <c r="D51" s="25">
        <f>AVERAGE(D45:D50)</f>
        <v>1.0266666666666666</v>
      </c>
      <c r="E51" s="25">
        <f>AVERAGE(E45:E50)</f>
        <v>15.143333333333333</v>
      </c>
    </row>
    <row r="52" spans="1:7" ht="16.5" customHeight="1" x14ac:dyDescent="0.3">
      <c r="A52" s="26" t="s">
        <v>19</v>
      </c>
      <c r="B52" s="27">
        <f>(STDEV(B45:B50)/B51)</f>
        <v>2.9684822488654566E-3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3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1"/>
      <c r="B56" s="36" t="s">
        <v>23</v>
      </c>
      <c r="C56" s="37"/>
      <c r="D56" s="37"/>
      <c r="E56" s="38"/>
      <c r="F56" s="2"/>
    </row>
    <row r="57" spans="1:7" ht="16.5" customHeight="1" x14ac:dyDescent="0.3">
      <c r="A57" s="11"/>
      <c r="B57" s="39" t="s">
        <v>24</v>
      </c>
      <c r="C57" s="37"/>
      <c r="D57" s="38"/>
      <c r="E57" s="37"/>
    </row>
    <row r="58" spans="1:7" ht="14.25" customHeight="1" x14ac:dyDescent="0.3">
      <c r="A58" s="40"/>
      <c r="B58" s="41"/>
      <c r="D58" s="42"/>
      <c r="F58" s="43"/>
      <c r="G58" s="43"/>
    </row>
    <row r="59" spans="1:7" ht="15" customHeight="1" x14ac:dyDescent="0.3">
      <c r="B59" s="288" t="s">
        <v>26</v>
      </c>
      <c r="C59" s="288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286" t="s">
        <v>134</v>
      </c>
      <c r="C60" s="47" t="s">
        <v>133</v>
      </c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5" workbookViewId="0">
      <selection activeCell="B53" sqref="B5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2" t="s">
        <v>31</v>
      </c>
      <c r="B11" s="293"/>
      <c r="C11" s="293"/>
      <c r="D11" s="293"/>
      <c r="E11" s="293"/>
      <c r="F11" s="294"/>
      <c r="G11" s="90"/>
    </row>
    <row r="12" spans="1:7" ht="16.5" customHeight="1" x14ac:dyDescent="0.3">
      <c r="A12" s="291" t="s">
        <v>32</v>
      </c>
      <c r="B12" s="291"/>
      <c r="C12" s="291"/>
      <c r="D12" s="291"/>
      <c r="E12" s="291"/>
      <c r="F12" s="291"/>
      <c r="G12" s="89"/>
    </row>
    <row r="14" spans="1:7" ht="16.5" customHeight="1" x14ac:dyDescent="0.3">
      <c r="A14" s="296" t="s">
        <v>33</v>
      </c>
      <c r="B14" s="296"/>
      <c r="C14" s="59" t="s">
        <v>5</v>
      </c>
    </row>
    <row r="15" spans="1:7" ht="16.5" customHeight="1" x14ac:dyDescent="0.3">
      <c r="A15" s="296" t="s">
        <v>34</v>
      </c>
      <c r="B15" s="296"/>
      <c r="C15" s="59" t="s">
        <v>7</v>
      </c>
    </row>
    <row r="16" spans="1:7" ht="16.5" customHeight="1" x14ac:dyDescent="0.3">
      <c r="A16" s="296" t="s">
        <v>35</v>
      </c>
      <c r="B16" s="296"/>
      <c r="C16" s="59" t="s">
        <v>9</v>
      </c>
    </row>
    <row r="17" spans="1:5" ht="16.5" customHeight="1" x14ac:dyDescent="0.3">
      <c r="A17" s="296" t="s">
        <v>36</v>
      </c>
      <c r="B17" s="296"/>
      <c r="C17" s="59" t="s">
        <v>11</v>
      </c>
    </row>
    <row r="18" spans="1:5" ht="16.5" customHeight="1" x14ac:dyDescent="0.3">
      <c r="A18" s="296" t="s">
        <v>37</v>
      </c>
      <c r="B18" s="296"/>
      <c r="C18" s="96" t="s">
        <v>12</v>
      </c>
    </row>
    <row r="19" spans="1:5" ht="16.5" customHeight="1" x14ac:dyDescent="0.3">
      <c r="A19" s="296" t="s">
        <v>38</v>
      </c>
      <c r="B19" s="296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91" t="s">
        <v>1</v>
      </c>
      <c r="B21" s="291"/>
      <c r="C21" s="58" t="s">
        <v>39</v>
      </c>
      <c r="D21" s="65"/>
    </row>
    <row r="22" spans="1:5" ht="15.75" customHeight="1" x14ac:dyDescent="0.3">
      <c r="A22" s="295"/>
      <c r="B22" s="295"/>
      <c r="C22" s="56"/>
      <c r="D22" s="295"/>
      <c r="E22" s="295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795.96</v>
      </c>
      <c r="D24" s="86">
        <f t="shared" ref="D24:D43" si="0">(C24-$C$46)/$C$46</f>
        <v>3.8584659392978645E-4</v>
      </c>
      <c r="E24" s="52"/>
    </row>
    <row r="25" spans="1:5" ht="15.75" customHeight="1" x14ac:dyDescent="0.3">
      <c r="C25" s="94">
        <v>795.62</v>
      </c>
      <c r="D25" s="87">
        <f t="shared" si="0"/>
        <v>-4.1475366774228791E-5</v>
      </c>
      <c r="E25" s="52"/>
    </row>
    <row r="26" spans="1:5" ht="15.75" customHeight="1" x14ac:dyDescent="0.3">
      <c r="C26" s="94">
        <v>789.17</v>
      </c>
      <c r="D26" s="87">
        <f t="shared" si="0"/>
        <v>-8.1480243271879332E-3</v>
      </c>
      <c r="E26" s="52"/>
    </row>
    <row r="27" spans="1:5" ht="15.75" customHeight="1" x14ac:dyDescent="0.3">
      <c r="C27" s="94">
        <v>792.6</v>
      </c>
      <c r="D27" s="87">
        <f t="shared" si="0"/>
        <v>-3.8370998412624565E-3</v>
      </c>
      <c r="E27" s="52"/>
    </row>
    <row r="28" spans="1:5" ht="15.75" customHeight="1" x14ac:dyDescent="0.3">
      <c r="C28" s="94">
        <v>791.62</v>
      </c>
      <c r="D28" s="87">
        <f t="shared" si="0"/>
        <v>-5.0687925515268788E-3</v>
      </c>
      <c r="E28" s="52"/>
    </row>
    <row r="29" spans="1:5" ht="15.75" customHeight="1" x14ac:dyDescent="0.3">
      <c r="C29" s="94">
        <v>793.3</v>
      </c>
      <c r="D29" s="87">
        <f t="shared" si="0"/>
        <v>-2.9573193339308282E-3</v>
      </c>
      <c r="E29" s="52"/>
    </row>
    <row r="30" spans="1:5" ht="15.75" customHeight="1" x14ac:dyDescent="0.3">
      <c r="C30" s="94">
        <v>800.88</v>
      </c>
      <c r="D30" s="87">
        <f t="shared" si="0"/>
        <v>6.5694467311754939E-3</v>
      </c>
      <c r="E30" s="52"/>
    </row>
    <row r="31" spans="1:5" ht="15.75" customHeight="1" x14ac:dyDescent="0.3">
      <c r="C31" s="94">
        <v>796.76</v>
      </c>
      <c r="D31" s="87">
        <f t="shared" si="0"/>
        <v>1.3913100308802593E-3</v>
      </c>
      <c r="E31" s="52"/>
    </row>
    <row r="32" spans="1:5" ht="15.75" customHeight="1" x14ac:dyDescent="0.3">
      <c r="C32" s="94">
        <v>792.32</v>
      </c>
      <c r="D32" s="87">
        <f t="shared" si="0"/>
        <v>-4.1890120441951074E-3</v>
      </c>
      <c r="E32" s="52"/>
    </row>
    <row r="33" spans="1:7" ht="15.75" customHeight="1" x14ac:dyDescent="0.3">
      <c r="C33" s="94">
        <v>803.67</v>
      </c>
      <c r="D33" s="87">
        <f t="shared" si="0"/>
        <v>1.0076000467540421E-2</v>
      </c>
      <c r="E33" s="52"/>
    </row>
    <row r="34" spans="1:7" ht="15.75" customHeight="1" x14ac:dyDescent="0.3">
      <c r="C34" s="94">
        <v>791.23</v>
      </c>
      <c r="D34" s="87">
        <f t="shared" si="0"/>
        <v>-5.5589559770402447E-3</v>
      </c>
      <c r="E34" s="52"/>
    </row>
    <row r="35" spans="1:7" ht="15.75" customHeight="1" x14ac:dyDescent="0.3">
      <c r="C35" s="94">
        <v>801.93</v>
      </c>
      <c r="D35" s="87">
        <f t="shared" si="0"/>
        <v>7.8891174921730065E-3</v>
      </c>
      <c r="E35" s="52"/>
    </row>
    <row r="36" spans="1:7" ht="15.75" customHeight="1" x14ac:dyDescent="0.3">
      <c r="C36" s="94">
        <v>789.35</v>
      </c>
      <c r="D36" s="87">
        <f t="shared" si="0"/>
        <v>-7.921795053873984E-3</v>
      </c>
      <c r="E36" s="52"/>
    </row>
    <row r="37" spans="1:7" ht="15.75" customHeight="1" x14ac:dyDescent="0.3">
      <c r="C37" s="94">
        <v>802.29</v>
      </c>
      <c r="D37" s="87">
        <f t="shared" si="0"/>
        <v>8.3415760388007628E-3</v>
      </c>
      <c r="E37" s="52"/>
    </row>
    <row r="38" spans="1:7" ht="15.75" customHeight="1" x14ac:dyDescent="0.3">
      <c r="C38" s="94">
        <v>803.59</v>
      </c>
      <c r="D38" s="87">
        <f t="shared" si="0"/>
        <v>9.9754541238454598E-3</v>
      </c>
      <c r="E38" s="52"/>
    </row>
    <row r="39" spans="1:7" ht="15.75" customHeight="1" x14ac:dyDescent="0.3">
      <c r="C39" s="94">
        <v>788.21</v>
      </c>
      <c r="D39" s="87">
        <f t="shared" si="0"/>
        <v>-9.3545804515284721E-3</v>
      </c>
      <c r="E39" s="52"/>
    </row>
    <row r="40" spans="1:7" ht="15.75" customHeight="1" x14ac:dyDescent="0.3">
      <c r="C40" s="94">
        <v>792.71</v>
      </c>
      <c r="D40" s="87">
        <f t="shared" si="0"/>
        <v>-3.6988486186817415E-3</v>
      </c>
      <c r="E40" s="52"/>
    </row>
    <row r="41" spans="1:7" ht="15.75" customHeight="1" x14ac:dyDescent="0.3">
      <c r="C41" s="94">
        <v>787.54</v>
      </c>
      <c r="D41" s="87">
        <f t="shared" si="0"/>
        <v>-1.0196656079974633E-2</v>
      </c>
      <c r="E41" s="52"/>
    </row>
    <row r="42" spans="1:7" ht="15.75" customHeight="1" x14ac:dyDescent="0.3">
      <c r="C42" s="94">
        <v>799.47</v>
      </c>
      <c r="D42" s="87">
        <f t="shared" si="0"/>
        <v>4.797317423550225E-3</v>
      </c>
      <c r="E42" s="52"/>
    </row>
    <row r="43" spans="1:7" ht="16.5" customHeight="1" x14ac:dyDescent="0.3">
      <c r="C43" s="95">
        <v>804.84</v>
      </c>
      <c r="D43" s="88">
        <f t="shared" si="0"/>
        <v>1.1546490744080663E-2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15913.06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795.65300000000002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289">
        <f>C46</f>
        <v>795.65300000000002</v>
      </c>
      <c r="C49" s="92">
        <f>-IF(C46&lt;=80,10%,IF(C46&lt;250,7.5%,5%))</f>
        <v>-0.05</v>
      </c>
      <c r="D49" s="80">
        <f>IF(C46&lt;=80,C46*0.9,IF(C46&lt;250,C46*0.925,C46*0.95))</f>
        <v>755.87035000000003</v>
      </c>
    </row>
    <row r="50" spans="1:6" ht="17.25" customHeight="1" x14ac:dyDescent="0.3">
      <c r="B50" s="290"/>
      <c r="C50" s="93">
        <f>IF(C46&lt;=80, 10%, IF(C46&lt;250, 7.5%, 5%))</f>
        <v>0.05</v>
      </c>
      <c r="D50" s="80">
        <f>IF(C46&lt;=80, C46*1.1, IF(C46&lt;250, C46*1.075, C46*1.05))</f>
        <v>835.43565000000001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6" zoomScale="60" zoomScaleNormal="40" zoomScalePageLayoutView="46" workbookViewId="0">
      <selection activeCell="H88" sqref="H8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97" t="s">
        <v>45</v>
      </c>
      <c r="B1" s="297"/>
      <c r="C1" s="297"/>
      <c r="D1" s="297"/>
      <c r="E1" s="297"/>
      <c r="F1" s="297"/>
      <c r="G1" s="297"/>
      <c r="H1" s="297"/>
      <c r="I1" s="297"/>
    </row>
    <row r="2" spans="1:9" ht="18.75" customHeight="1" x14ac:dyDescent="0.3">
      <c r="A2" s="297"/>
      <c r="B2" s="297"/>
      <c r="C2" s="297"/>
      <c r="D2" s="297"/>
      <c r="E2" s="297"/>
      <c r="F2" s="297"/>
      <c r="G2" s="297"/>
      <c r="H2" s="297"/>
      <c r="I2" s="297"/>
    </row>
    <row r="3" spans="1:9" ht="18.75" customHeight="1" x14ac:dyDescent="0.3">
      <c r="A3" s="297"/>
      <c r="B3" s="297"/>
      <c r="C3" s="297"/>
      <c r="D3" s="297"/>
      <c r="E3" s="297"/>
      <c r="F3" s="297"/>
      <c r="G3" s="297"/>
      <c r="H3" s="297"/>
      <c r="I3" s="297"/>
    </row>
    <row r="4" spans="1:9" ht="18.75" customHeight="1" x14ac:dyDescent="0.3">
      <c r="A4" s="297"/>
      <c r="B4" s="297"/>
      <c r="C4" s="297"/>
      <c r="D4" s="297"/>
      <c r="E4" s="297"/>
      <c r="F4" s="297"/>
      <c r="G4" s="297"/>
      <c r="H4" s="297"/>
      <c r="I4" s="297"/>
    </row>
    <row r="5" spans="1:9" ht="18.75" customHeight="1" x14ac:dyDescent="0.3">
      <c r="A5" s="297"/>
      <c r="B5" s="297"/>
      <c r="C5" s="297"/>
      <c r="D5" s="297"/>
      <c r="E5" s="297"/>
      <c r="F5" s="297"/>
      <c r="G5" s="297"/>
      <c r="H5" s="297"/>
      <c r="I5" s="297"/>
    </row>
    <row r="6" spans="1:9" ht="18.75" customHeight="1" x14ac:dyDescent="0.3">
      <c r="A6" s="297"/>
      <c r="B6" s="297"/>
      <c r="C6" s="297"/>
      <c r="D6" s="297"/>
      <c r="E6" s="297"/>
      <c r="F6" s="297"/>
      <c r="G6" s="297"/>
      <c r="H6" s="297"/>
      <c r="I6" s="297"/>
    </row>
    <row r="7" spans="1:9" ht="18.75" customHeight="1" x14ac:dyDescent="0.3">
      <c r="A7" s="297"/>
      <c r="B7" s="297"/>
      <c r="C7" s="297"/>
      <c r="D7" s="297"/>
      <c r="E7" s="297"/>
      <c r="F7" s="297"/>
      <c r="G7" s="297"/>
      <c r="H7" s="297"/>
      <c r="I7" s="297"/>
    </row>
    <row r="8" spans="1:9" x14ac:dyDescent="0.3">
      <c r="A8" s="298" t="s">
        <v>46</v>
      </c>
      <c r="B8" s="298"/>
      <c r="C8" s="298"/>
      <c r="D8" s="298"/>
      <c r="E8" s="298"/>
      <c r="F8" s="298"/>
      <c r="G8" s="298"/>
      <c r="H8" s="298"/>
      <c r="I8" s="298"/>
    </row>
    <row r="9" spans="1:9" x14ac:dyDescent="0.3">
      <c r="A9" s="298"/>
      <c r="B9" s="298"/>
      <c r="C9" s="298"/>
      <c r="D9" s="298"/>
      <c r="E9" s="298"/>
      <c r="F9" s="298"/>
      <c r="G9" s="298"/>
      <c r="H9" s="298"/>
      <c r="I9" s="298"/>
    </row>
    <row r="10" spans="1:9" x14ac:dyDescent="0.3">
      <c r="A10" s="298"/>
      <c r="B10" s="298"/>
      <c r="C10" s="298"/>
      <c r="D10" s="298"/>
      <c r="E10" s="298"/>
      <c r="F10" s="298"/>
      <c r="G10" s="298"/>
      <c r="H10" s="298"/>
      <c r="I10" s="298"/>
    </row>
    <row r="11" spans="1:9" x14ac:dyDescent="0.3">
      <c r="A11" s="298"/>
      <c r="B11" s="298"/>
      <c r="C11" s="298"/>
      <c r="D11" s="298"/>
      <c r="E11" s="298"/>
      <c r="F11" s="298"/>
      <c r="G11" s="298"/>
      <c r="H11" s="298"/>
      <c r="I11" s="298"/>
    </row>
    <row r="12" spans="1:9" x14ac:dyDescent="0.3">
      <c r="A12" s="298"/>
      <c r="B12" s="298"/>
      <c r="C12" s="298"/>
      <c r="D12" s="298"/>
      <c r="E12" s="298"/>
      <c r="F12" s="298"/>
      <c r="G12" s="298"/>
      <c r="H12" s="298"/>
      <c r="I12" s="298"/>
    </row>
    <row r="13" spans="1:9" x14ac:dyDescent="0.3">
      <c r="A13" s="298"/>
      <c r="B13" s="298"/>
      <c r="C13" s="298"/>
      <c r="D13" s="298"/>
      <c r="E13" s="298"/>
      <c r="F13" s="298"/>
      <c r="G13" s="298"/>
      <c r="H13" s="298"/>
      <c r="I13" s="298"/>
    </row>
    <row r="14" spans="1:9" x14ac:dyDescent="0.3">
      <c r="A14" s="298"/>
      <c r="B14" s="298"/>
      <c r="C14" s="298"/>
      <c r="D14" s="298"/>
      <c r="E14" s="298"/>
      <c r="F14" s="298"/>
      <c r="G14" s="298"/>
      <c r="H14" s="298"/>
      <c r="I14" s="298"/>
    </row>
    <row r="15" spans="1:9" ht="19.5" customHeight="1" x14ac:dyDescent="0.35">
      <c r="A15" s="97"/>
    </row>
    <row r="16" spans="1:9" ht="19.5" customHeight="1" x14ac:dyDescent="0.35">
      <c r="A16" s="330" t="s">
        <v>31</v>
      </c>
      <c r="B16" s="331"/>
      <c r="C16" s="331"/>
      <c r="D16" s="331"/>
      <c r="E16" s="331"/>
      <c r="F16" s="331"/>
      <c r="G16" s="331"/>
      <c r="H16" s="332"/>
    </row>
    <row r="17" spans="1:14" ht="20.25" customHeight="1" x14ac:dyDescent="0.3">
      <c r="A17" s="333" t="s">
        <v>47</v>
      </c>
      <c r="B17" s="333"/>
      <c r="C17" s="333"/>
      <c r="D17" s="333"/>
      <c r="E17" s="333"/>
      <c r="F17" s="333"/>
      <c r="G17" s="333"/>
      <c r="H17" s="333"/>
    </row>
    <row r="18" spans="1:14" ht="26.25" customHeight="1" x14ac:dyDescent="0.5">
      <c r="A18" s="99" t="s">
        <v>33</v>
      </c>
      <c r="B18" s="329" t="s">
        <v>5</v>
      </c>
      <c r="C18" s="329"/>
      <c r="D18" s="245"/>
      <c r="E18" s="100"/>
      <c r="F18" s="101"/>
      <c r="G18" s="101"/>
      <c r="H18" s="101"/>
    </row>
    <row r="19" spans="1:14" ht="26.25" customHeight="1" x14ac:dyDescent="0.5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5">
      <c r="A20" s="99" t="s">
        <v>35</v>
      </c>
      <c r="B20" s="334" t="s">
        <v>9</v>
      </c>
      <c r="C20" s="334"/>
      <c r="D20" s="101"/>
      <c r="E20" s="101"/>
      <c r="F20" s="101"/>
      <c r="G20" s="101"/>
      <c r="H20" s="101"/>
    </row>
    <row r="21" spans="1:14" ht="26.25" customHeight="1" x14ac:dyDescent="0.5">
      <c r="A21" s="99" t="s">
        <v>36</v>
      </c>
      <c r="B21" s="334" t="s">
        <v>11</v>
      </c>
      <c r="C21" s="334"/>
      <c r="D21" s="334"/>
      <c r="E21" s="334"/>
      <c r="F21" s="334"/>
      <c r="G21" s="334"/>
      <c r="H21" s="334"/>
      <c r="I21" s="103"/>
    </row>
    <row r="22" spans="1:14" ht="26.25" customHeight="1" x14ac:dyDescent="0.5">
      <c r="A22" s="99" t="s">
        <v>37</v>
      </c>
      <c r="B22" s="104">
        <v>43160</v>
      </c>
      <c r="C22" s="101"/>
      <c r="D22" s="101"/>
      <c r="E22" s="101"/>
      <c r="F22" s="101"/>
      <c r="G22" s="101"/>
      <c r="H22" s="101"/>
    </row>
    <row r="23" spans="1:14" ht="26.25" customHeight="1" x14ac:dyDescent="0.5">
      <c r="A23" s="99" t="s">
        <v>38</v>
      </c>
      <c r="B23" s="104">
        <v>43161</v>
      </c>
      <c r="C23" s="101"/>
      <c r="D23" s="101"/>
      <c r="E23" s="101"/>
      <c r="F23" s="101"/>
      <c r="G23" s="101"/>
      <c r="H23" s="101"/>
    </row>
    <row r="24" spans="1:14" ht="18" x14ac:dyDescent="0.35">
      <c r="A24" s="99"/>
      <c r="B24" s="105"/>
    </row>
    <row r="25" spans="1:14" ht="18" x14ac:dyDescent="0.35">
      <c r="A25" s="106" t="s">
        <v>1</v>
      </c>
      <c r="B25" s="105"/>
    </row>
    <row r="26" spans="1:14" ht="26.25" customHeight="1" x14ac:dyDescent="0.45">
      <c r="A26" s="107" t="s">
        <v>4</v>
      </c>
      <c r="B26" s="329" t="s">
        <v>131</v>
      </c>
      <c r="C26" s="329"/>
    </row>
    <row r="27" spans="1:14" ht="26.25" customHeight="1" x14ac:dyDescent="0.5">
      <c r="A27" s="108" t="s">
        <v>48</v>
      </c>
      <c r="B27" s="335" t="s">
        <v>132</v>
      </c>
      <c r="C27" s="335"/>
    </row>
    <row r="28" spans="1:14" ht="27" customHeight="1" x14ac:dyDescent="0.45">
      <c r="A28" s="108" t="s">
        <v>6</v>
      </c>
      <c r="B28" s="109">
        <v>99.5</v>
      </c>
    </row>
    <row r="29" spans="1:14" s="14" customFormat="1" ht="27" customHeight="1" x14ac:dyDescent="0.5">
      <c r="A29" s="108" t="s">
        <v>49</v>
      </c>
      <c r="B29" s="110">
        <v>0</v>
      </c>
      <c r="C29" s="305" t="s">
        <v>50</v>
      </c>
      <c r="D29" s="306"/>
      <c r="E29" s="306"/>
      <c r="F29" s="306"/>
      <c r="G29" s="307"/>
      <c r="I29" s="111"/>
      <c r="J29" s="111"/>
      <c r="K29" s="111"/>
      <c r="L29" s="111"/>
    </row>
    <row r="30" spans="1:14" s="14" customFormat="1" ht="19.5" customHeight="1" x14ac:dyDescent="0.35">
      <c r="A30" s="108" t="s">
        <v>51</v>
      </c>
      <c r="B30" s="112">
        <f>B28-B29</f>
        <v>99.5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5">
      <c r="A31" s="108" t="s">
        <v>52</v>
      </c>
      <c r="B31" s="115">
        <v>1</v>
      </c>
      <c r="C31" s="308" t="s">
        <v>53</v>
      </c>
      <c r="D31" s="309"/>
      <c r="E31" s="309"/>
      <c r="F31" s="309"/>
      <c r="G31" s="309"/>
      <c r="H31" s="310"/>
      <c r="I31" s="111"/>
      <c r="J31" s="111"/>
      <c r="K31" s="111"/>
      <c r="L31" s="111"/>
    </row>
    <row r="32" spans="1:14" s="14" customFormat="1" ht="27" customHeight="1" x14ac:dyDescent="0.45">
      <c r="A32" s="108" t="s">
        <v>54</v>
      </c>
      <c r="B32" s="115">
        <v>1</v>
      </c>
      <c r="C32" s="308" t="s">
        <v>55</v>
      </c>
      <c r="D32" s="309"/>
      <c r="E32" s="309"/>
      <c r="F32" s="309"/>
      <c r="G32" s="309"/>
      <c r="H32" s="310"/>
      <c r="I32" s="111"/>
      <c r="J32" s="111"/>
      <c r="K32" s="111"/>
      <c r="L32" s="116"/>
      <c r="M32" s="116"/>
      <c r="N32" s="117"/>
    </row>
    <row r="33" spans="1:14" s="14" customFormat="1" ht="17.25" customHeight="1" x14ac:dyDescent="0.35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" x14ac:dyDescent="0.35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5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5">
      <c r="A36" s="121" t="s">
        <v>58</v>
      </c>
      <c r="B36" s="122">
        <v>50</v>
      </c>
      <c r="C36" s="98"/>
      <c r="D36" s="311" t="s">
        <v>59</v>
      </c>
      <c r="E36" s="336"/>
      <c r="F36" s="311" t="s">
        <v>60</v>
      </c>
      <c r="G36" s="312"/>
      <c r="J36" s="111"/>
      <c r="K36" s="111"/>
      <c r="L36" s="116"/>
      <c r="M36" s="116"/>
      <c r="N36" s="117"/>
    </row>
    <row r="37" spans="1:14" s="14" customFormat="1" ht="27" customHeight="1" x14ac:dyDescent="0.45">
      <c r="A37" s="123" t="s">
        <v>61</v>
      </c>
      <c r="B37" s="124">
        <v>1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5">
      <c r="A38" s="123" t="s">
        <v>66</v>
      </c>
      <c r="B38" s="124">
        <v>1</v>
      </c>
      <c r="C38" s="130">
        <v>1</v>
      </c>
      <c r="D38" s="131">
        <v>58036142</v>
      </c>
      <c r="E38" s="132">
        <f>IF(ISBLANK(D38),"-",$D$48/$D$45*D38)</f>
        <v>59084056.831971847</v>
      </c>
      <c r="F38" s="131">
        <v>63824113</v>
      </c>
      <c r="G38" s="133">
        <f>IF(ISBLANK(F38),"-",$D$48/$F$45*F38)</f>
        <v>59926043.708828136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5">
      <c r="A39" s="123" t="s">
        <v>67</v>
      </c>
      <c r="B39" s="124">
        <v>1</v>
      </c>
      <c r="C39" s="135">
        <v>2</v>
      </c>
      <c r="D39" s="136">
        <v>57714306</v>
      </c>
      <c r="E39" s="137">
        <f>IF(ISBLANK(D39),"-",$D$48/$D$45*D39)</f>
        <v>58756409.682122111</v>
      </c>
      <c r="F39" s="136">
        <v>63980146</v>
      </c>
      <c r="G39" s="138">
        <f>IF(ISBLANK(F39),"-",$D$48/$F$45*F39)</f>
        <v>60072546.965019405</v>
      </c>
      <c r="I39" s="313">
        <f>ABS((F43/D43*D42)-F42)/D42</f>
        <v>2.0012952155340696E-2</v>
      </c>
      <c r="J39" s="111"/>
      <c r="K39" s="111"/>
      <c r="L39" s="116"/>
      <c r="M39" s="116"/>
      <c r="N39" s="117"/>
    </row>
    <row r="40" spans="1:14" ht="26.25" customHeight="1" x14ac:dyDescent="0.45">
      <c r="A40" s="123" t="s">
        <v>68</v>
      </c>
      <c r="B40" s="124">
        <v>1</v>
      </c>
      <c r="C40" s="135">
        <v>3</v>
      </c>
      <c r="D40" s="136">
        <v>57817290</v>
      </c>
      <c r="E40" s="137">
        <f>IF(ISBLANK(D40),"-",$D$48/$D$45*D40)</f>
        <v>58861253.186516047</v>
      </c>
      <c r="F40" s="136">
        <v>63865157</v>
      </c>
      <c r="G40" s="138">
        <f>IF(ISBLANK(F40),"-",$D$48/$F$45*F40)</f>
        <v>59964580.939075038</v>
      </c>
      <c r="I40" s="313"/>
      <c r="L40" s="116"/>
      <c r="M40" s="116"/>
      <c r="N40" s="139"/>
    </row>
    <row r="41" spans="1:14" ht="27" customHeight="1" x14ac:dyDescent="0.45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5">
      <c r="A42" s="123" t="s">
        <v>70</v>
      </c>
      <c r="B42" s="124">
        <v>1</v>
      </c>
      <c r="C42" s="145" t="s">
        <v>71</v>
      </c>
      <c r="D42" s="146">
        <f>AVERAGE(D38:D41)</f>
        <v>57855912.666666664</v>
      </c>
      <c r="E42" s="147">
        <f>AVERAGE(E38:E41)</f>
        <v>58900573.233536668</v>
      </c>
      <c r="F42" s="146">
        <f>AVERAGE(F38:F41)</f>
        <v>63889805.333333336</v>
      </c>
      <c r="G42" s="148">
        <f>AVERAGE(G38:G41)</f>
        <v>59987723.870974191</v>
      </c>
      <c r="H42" s="149"/>
    </row>
    <row r="43" spans="1:14" ht="26.25" customHeight="1" x14ac:dyDescent="0.45">
      <c r="A43" s="123" t="s">
        <v>72</v>
      </c>
      <c r="B43" s="124">
        <v>1</v>
      </c>
      <c r="C43" s="150" t="s">
        <v>73</v>
      </c>
      <c r="D43" s="151">
        <v>24.68</v>
      </c>
      <c r="E43" s="139"/>
      <c r="F43" s="151">
        <v>26.76</v>
      </c>
      <c r="H43" s="149"/>
    </row>
    <row r="44" spans="1:14" ht="26.25" customHeight="1" x14ac:dyDescent="0.45">
      <c r="A44" s="123" t="s">
        <v>74</v>
      </c>
      <c r="B44" s="124">
        <v>1</v>
      </c>
      <c r="C44" s="152" t="s">
        <v>75</v>
      </c>
      <c r="D44" s="153">
        <f>D43*$B$34</f>
        <v>24.68</v>
      </c>
      <c r="E44" s="154"/>
      <c r="F44" s="153">
        <f>F43*$B$34</f>
        <v>26.76</v>
      </c>
      <c r="H44" s="149"/>
    </row>
    <row r="45" spans="1:14" ht="19.5" customHeight="1" x14ac:dyDescent="0.35">
      <c r="A45" s="123" t="s">
        <v>76</v>
      </c>
      <c r="B45" s="155">
        <f>(B44/B43)*(B42/B41)*(B40/B39)*(B38/B37)*B36</f>
        <v>50</v>
      </c>
      <c r="C45" s="152" t="s">
        <v>77</v>
      </c>
      <c r="D45" s="156">
        <f>D44*$B$30/100</f>
        <v>24.5566</v>
      </c>
      <c r="E45" s="157"/>
      <c r="F45" s="156">
        <f>F44*$B$30/100</f>
        <v>26.626200000000004</v>
      </c>
      <c r="H45" s="149"/>
    </row>
    <row r="46" spans="1:14" ht="19.5" customHeight="1" x14ac:dyDescent="0.35">
      <c r="A46" s="299" t="s">
        <v>78</v>
      </c>
      <c r="B46" s="300"/>
      <c r="C46" s="152" t="s">
        <v>79</v>
      </c>
      <c r="D46" s="158">
        <f>D45/$B$45</f>
        <v>0.49113200000000001</v>
      </c>
      <c r="E46" s="159"/>
      <c r="F46" s="160">
        <f>F45/$B$45</f>
        <v>0.53252400000000011</v>
      </c>
      <c r="H46" s="149"/>
    </row>
    <row r="47" spans="1:14" ht="27" customHeight="1" x14ac:dyDescent="0.45">
      <c r="A47" s="301"/>
      <c r="B47" s="302"/>
      <c r="C47" s="161" t="s">
        <v>80</v>
      </c>
      <c r="D47" s="162">
        <v>0.5</v>
      </c>
      <c r="E47" s="163"/>
      <c r="F47" s="159"/>
      <c r="H47" s="149"/>
    </row>
    <row r="48" spans="1:14" ht="18" x14ac:dyDescent="0.35">
      <c r="C48" s="164" t="s">
        <v>81</v>
      </c>
      <c r="D48" s="156">
        <f>D47*$B$45</f>
        <v>25</v>
      </c>
      <c r="F48" s="165"/>
      <c r="H48" s="149"/>
    </row>
    <row r="49" spans="1:12" ht="19.5" customHeight="1" x14ac:dyDescent="0.35">
      <c r="C49" s="166" t="s">
        <v>82</v>
      </c>
      <c r="D49" s="167">
        <f>D48/B34</f>
        <v>25</v>
      </c>
      <c r="F49" s="165"/>
      <c r="H49" s="149"/>
    </row>
    <row r="50" spans="1:12" ht="18" x14ac:dyDescent="0.35">
      <c r="C50" s="121" t="s">
        <v>83</v>
      </c>
      <c r="D50" s="168">
        <f>AVERAGE(E38:E41,G38:G41)</f>
        <v>59444148.552255429</v>
      </c>
      <c r="F50" s="169"/>
      <c r="H50" s="149"/>
    </row>
    <row r="51" spans="1:12" ht="18" x14ac:dyDescent="0.35">
      <c r="C51" s="123" t="s">
        <v>84</v>
      </c>
      <c r="D51" s="170">
        <f>STDEV(E38:E41,G38:G41)/D50</f>
        <v>1.0206082422577499E-2</v>
      </c>
      <c r="F51" s="169"/>
      <c r="H51" s="149"/>
    </row>
    <row r="52" spans="1:12" ht="19.5" customHeight="1" x14ac:dyDescent="0.35">
      <c r="C52" s="171" t="s">
        <v>20</v>
      </c>
      <c r="D52" s="172">
        <f>COUNT(E38:E41,G38:G41)</f>
        <v>6</v>
      </c>
      <c r="F52" s="169"/>
    </row>
    <row r="54" spans="1:12" ht="18" x14ac:dyDescent="0.35">
      <c r="A54" s="173" t="s">
        <v>1</v>
      </c>
      <c r="B54" s="174" t="s">
        <v>85</v>
      </c>
    </row>
    <row r="55" spans="1:12" ht="18" x14ac:dyDescent="0.35">
      <c r="A55" s="98" t="s">
        <v>86</v>
      </c>
      <c r="B55" s="175" t="str">
        <f>B21</f>
        <v>Each film-coated tablet contains  100 mg Ritonavir.</v>
      </c>
    </row>
    <row r="56" spans="1:12" ht="26.25" customHeight="1" x14ac:dyDescent="0.45">
      <c r="A56" s="176" t="s">
        <v>87</v>
      </c>
      <c r="B56" s="177">
        <v>100</v>
      </c>
      <c r="C56" s="98" t="str">
        <f>B20</f>
        <v>Ritonavir</v>
      </c>
      <c r="H56" s="178"/>
    </row>
    <row r="57" spans="1:12" ht="18" x14ac:dyDescent="0.35">
      <c r="A57" s="175" t="s">
        <v>88</v>
      </c>
      <c r="B57" s="246">
        <f>Uniformity!C46</f>
        <v>795.65300000000002</v>
      </c>
      <c r="H57" s="178"/>
    </row>
    <row r="58" spans="1:12" ht="19.5" customHeight="1" x14ac:dyDescent="0.35">
      <c r="H58" s="178"/>
    </row>
    <row r="59" spans="1:12" s="14" customFormat="1" ht="27" customHeight="1" x14ac:dyDescent="0.45">
      <c r="A59" s="121" t="s">
        <v>89</v>
      </c>
      <c r="B59" s="122">
        <v>200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5">
      <c r="A60" s="123" t="s">
        <v>93</v>
      </c>
      <c r="B60" s="124">
        <v>1</v>
      </c>
      <c r="C60" s="316" t="s">
        <v>94</v>
      </c>
      <c r="D60" s="319">
        <v>788.99</v>
      </c>
      <c r="E60" s="181">
        <v>1</v>
      </c>
      <c r="F60" s="182">
        <v>57125342</v>
      </c>
      <c r="G60" s="247">
        <f>IF(ISBLANK(F60),"-",(F60/$D$50*$D$47*$B$68)*($B$57/$D$60))</f>
        <v>96.91073962421153</v>
      </c>
      <c r="H60" s="265">
        <f t="shared" ref="H60:H71" si="0">IF(ISBLANK(F60),"-",(G60/$B$56)*100)</f>
        <v>96.91073962421153</v>
      </c>
      <c r="L60" s="111"/>
    </row>
    <row r="61" spans="1:12" s="14" customFormat="1" ht="26.25" customHeight="1" x14ac:dyDescent="0.45">
      <c r="A61" s="123" t="s">
        <v>95</v>
      </c>
      <c r="B61" s="124">
        <v>1</v>
      </c>
      <c r="C61" s="317"/>
      <c r="D61" s="320"/>
      <c r="E61" s="183">
        <v>2</v>
      </c>
      <c r="F61" s="136">
        <v>56735899</v>
      </c>
      <c r="G61" s="248">
        <f>IF(ISBLANK(F61),"-",(F61/$D$50*$D$47*$B$68)*($B$57/$D$60))</f>
        <v>96.250065957321766</v>
      </c>
      <c r="H61" s="266">
        <f t="shared" si="0"/>
        <v>96.250065957321766</v>
      </c>
      <c r="L61" s="111"/>
    </row>
    <row r="62" spans="1:12" s="14" customFormat="1" ht="26.25" customHeight="1" x14ac:dyDescent="0.45">
      <c r="A62" s="123" t="s">
        <v>96</v>
      </c>
      <c r="B62" s="124">
        <v>1</v>
      </c>
      <c r="C62" s="317"/>
      <c r="D62" s="320"/>
      <c r="E62" s="183">
        <v>3</v>
      </c>
      <c r="F62" s="184">
        <v>57167857</v>
      </c>
      <c r="G62" s="248">
        <f>IF(ISBLANK(F62),"-",(F62/$D$50*$D$47*$B$68)*($B$57/$D$60))</f>
        <v>96.982864533242676</v>
      </c>
      <c r="H62" s="266">
        <f t="shared" si="0"/>
        <v>96.982864533242676</v>
      </c>
      <c r="L62" s="111"/>
    </row>
    <row r="63" spans="1:12" ht="27" customHeight="1" x14ac:dyDescent="0.45">
      <c r="A63" s="123" t="s">
        <v>97</v>
      </c>
      <c r="B63" s="124">
        <v>1</v>
      </c>
      <c r="C63" s="326"/>
      <c r="D63" s="321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5">
      <c r="A64" s="123" t="s">
        <v>98</v>
      </c>
      <c r="B64" s="124">
        <v>1</v>
      </c>
      <c r="C64" s="316" t="s">
        <v>99</v>
      </c>
      <c r="D64" s="319">
        <v>807.18</v>
      </c>
      <c r="E64" s="181">
        <v>1</v>
      </c>
      <c r="F64" s="182">
        <v>58149785</v>
      </c>
      <c r="G64" s="247">
        <f>IF(ISBLANK(F64),"-",(F64/$D$50*$D$47*$B$68)*($B$57/$D$64))</f>
        <v>96.425592149773195</v>
      </c>
      <c r="H64" s="265">
        <f t="shared" si="0"/>
        <v>96.425592149773195</v>
      </c>
    </row>
    <row r="65" spans="1:8" ht="26.25" customHeight="1" x14ac:dyDescent="0.45">
      <c r="A65" s="123" t="s">
        <v>100</v>
      </c>
      <c r="B65" s="124">
        <v>1</v>
      </c>
      <c r="C65" s="317"/>
      <c r="D65" s="320"/>
      <c r="E65" s="183">
        <v>2</v>
      </c>
      <c r="F65" s="136">
        <v>58348431</v>
      </c>
      <c r="G65" s="248">
        <f>IF(ISBLANK(F65),"-",(F65/$D$50*$D$47*$B$68)*($B$57/$D$64))</f>
        <v>96.754992476501542</v>
      </c>
      <c r="H65" s="266">
        <f t="shared" si="0"/>
        <v>96.754992476501542</v>
      </c>
    </row>
    <row r="66" spans="1:8" ht="26.25" customHeight="1" x14ac:dyDescent="0.45">
      <c r="A66" s="123" t="s">
        <v>101</v>
      </c>
      <c r="B66" s="124">
        <v>1</v>
      </c>
      <c r="C66" s="317"/>
      <c r="D66" s="320"/>
      <c r="E66" s="183">
        <v>3</v>
      </c>
      <c r="F66" s="136">
        <v>58232905</v>
      </c>
      <c r="G66" s="248">
        <f>IF(ISBLANK(F66),"-",(F66/$D$50*$D$47*$B$68)*($B$57/$D$64))</f>
        <v>96.563424047509187</v>
      </c>
      <c r="H66" s="266">
        <f t="shared" si="0"/>
        <v>96.563424047509187</v>
      </c>
    </row>
    <row r="67" spans="1:8" ht="27" customHeight="1" x14ac:dyDescent="0.45">
      <c r="A67" s="123" t="s">
        <v>102</v>
      </c>
      <c r="B67" s="124">
        <v>1</v>
      </c>
      <c r="C67" s="326"/>
      <c r="D67" s="321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5">
      <c r="A68" s="123" t="s">
        <v>103</v>
      </c>
      <c r="B68" s="187">
        <f>(B67/B66)*(B65/B64)*(B63/B62)*(B61/B60)*B59</f>
        <v>200</v>
      </c>
      <c r="C68" s="316" t="s">
        <v>104</v>
      </c>
      <c r="D68" s="319">
        <v>795.93</v>
      </c>
      <c r="E68" s="181">
        <v>1</v>
      </c>
      <c r="F68" s="182">
        <v>58039099</v>
      </c>
      <c r="G68" s="247">
        <f>IF(ISBLANK(F68),"-",(F68/$D$50*$D$47*$B$68)*($B$57/$D$68))</f>
        <v>97.602374015966703</v>
      </c>
      <c r="H68" s="266">
        <f t="shared" si="0"/>
        <v>97.602374015966703</v>
      </c>
    </row>
    <row r="69" spans="1:8" ht="27" customHeight="1" x14ac:dyDescent="0.5">
      <c r="A69" s="171" t="s">
        <v>105</v>
      </c>
      <c r="B69" s="188">
        <f>(D47*B68)/B56*B57</f>
        <v>795.65300000000002</v>
      </c>
      <c r="C69" s="317"/>
      <c r="D69" s="320"/>
      <c r="E69" s="183">
        <v>2</v>
      </c>
      <c r="F69" s="136">
        <v>57781131</v>
      </c>
      <c r="G69" s="248">
        <f>IF(ISBLANK(F69),"-",(F69/$D$50*$D$47*$B$68)*($B$57/$D$68))</f>
        <v>97.168558025471228</v>
      </c>
      <c r="H69" s="266">
        <f t="shared" si="0"/>
        <v>97.168558025471228</v>
      </c>
    </row>
    <row r="70" spans="1:8" ht="26.25" customHeight="1" x14ac:dyDescent="0.45">
      <c r="A70" s="322" t="s">
        <v>78</v>
      </c>
      <c r="B70" s="323"/>
      <c r="C70" s="317"/>
      <c r="D70" s="320"/>
      <c r="E70" s="183">
        <v>3</v>
      </c>
      <c r="F70" s="136">
        <v>57946363</v>
      </c>
      <c r="G70" s="248">
        <f>IF(ISBLANK(F70),"-",(F70/$D$50*$D$47*$B$68)*($B$57/$D$68))</f>
        <v>97.446423046487581</v>
      </c>
      <c r="H70" s="266">
        <f t="shared" si="0"/>
        <v>97.446423046487581</v>
      </c>
    </row>
    <row r="71" spans="1:8" ht="27" customHeight="1" x14ac:dyDescent="0.45">
      <c r="A71" s="324"/>
      <c r="B71" s="325"/>
      <c r="C71" s="318"/>
      <c r="D71" s="321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5">
      <c r="A72" s="189"/>
      <c r="B72" s="189"/>
      <c r="C72" s="189"/>
      <c r="D72" s="189"/>
      <c r="E72" s="189"/>
      <c r="F72" s="191" t="s">
        <v>71</v>
      </c>
      <c r="G72" s="253">
        <f>AVERAGE(G60:G71)</f>
        <v>96.900559319609499</v>
      </c>
      <c r="H72" s="268">
        <f>AVERAGE(H60:H71)</f>
        <v>96.900559319609499</v>
      </c>
    </row>
    <row r="73" spans="1:8" ht="26.25" customHeight="1" x14ac:dyDescent="0.45">
      <c r="C73" s="189"/>
      <c r="D73" s="189"/>
      <c r="E73" s="189"/>
      <c r="F73" s="192" t="s">
        <v>84</v>
      </c>
      <c r="G73" s="252">
        <f>STDEV(G60:G71)/G72</f>
        <v>4.69070958591366E-3</v>
      </c>
      <c r="H73" s="252">
        <f>STDEV(H60:H71)/H72</f>
        <v>4.69070958591366E-3</v>
      </c>
    </row>
    <row r="74" spans="1:8" ht="27" customHeight="1" x14ac:dyDescent="0.45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5">
      <c r="A76" s="107" t="s">
        <v>106</v>
      </c>
      <c r="B76" s="196" t="s">
        <v>107</v>
      </c>
      <c r="C76" s="303" t="str">
        <f>B26</f>
        <v>RITONAVIR</v>
      </c>
      <c r="D76" s="303"/>
      <c r="E76" s="197" t="s">
        <v>108</v>
      </c>
      <c r="F76" s="197"/>
      <c r="G76" s="284">
        <f>H72</f>
        <v>96.900559319609499</v>
      </c>
      <c r="H76" s="199"/>
    </row>
    <row r="77" spans="1:8" ht="18" x14ac:dyDescent="0.35">
      <c r="A77" s="106" t="s">
        <v>109</v>
      </c>
      <c r="B77" s="106" t="s">
        <v>110</v>
      </c>
    </row>
    <row r="78" spans="1:8" ht="18" x14ac:dyDescent="0.35">
      <c r="A78" s="106"/>
      <c r="B78" s="106"/>
    </row>
    <row r="79" spans="1:8" ht="26.25" customHeight="1" x14ac:dyDescent="0.45">
      <c r="A79" s="107" t="s">
        <v>4</v>
      </c>
      <c r="B79" s="337" t="str">
        <f>B26</f>
        <v>RITONAVIR</v>
      </c>
      <c r="C79" s="337"/>
    </row>
    <row r="80" spans="1:8" ht="26.25" customHeight="1" x14ac:dyDescent="0.45">
      <c r="A80" s="108" t="s">
        <v>48</v>
      </c>
      <c r="B80" s="337" t="str">
        <f>B27</f>
        <v>R14-3</v>
      </c>
      <c r="C80" s="337"/>
    </row>
    <row r="81" spans="1:12" ht="27" customHeight="1" x14ac:dyDescent="0.45">
      <c r="A81" s="108" t="s">
        <v>6</v>
      </c>
      <c r="B81" s="200">
        <f>B28</f>
        <v>99.5</v>
      </c>
    </row>
    <row r="82" spans="1:12" s="14" customFormat="1" ht="27" customHeight="1" x14ac:dyDescent="0.5">
      <c r="A82" s="108" t="s">
        <v>49</v>
      </c>
      <c r="B82" s="110">
        <v>0</v>
      </c>
      <c r="C82" s="305" t="s">
        <v>50</v>
      </c>
      <c r="D82" s="306"/>
      <c r="E82" s="306"/>
      <c r="F82" s="306"/>
      <c r="G82" s="307"/>
      <c r="I82" s="111"/>
      <c r="J82" s="111"/>
      <c r="K82" s="111"/>
      <c r="L82" s="111"/>
    </row>
    <row r="83" spans="1:12" s="14" customFormat="1" ht="19.5" customHeight="1" x14ac:dyDescent="0.35">
      <c r="A83" s="108" t="s">
        <v>51</v>
      </c>
      <c r="B83" s="112">
        <f>B81-B82</f>
        <v>99.5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5">
      <c r="A84" s="108" t="s">
        <v>52</v>
      </c>
      <c r="B84" s="115">
        <v>1</v>
      </c>
      <c r="C84" s="308" t="s">
        <v>111</v>
      </c>
      <c r="D84" s="309"/>
      <c r="E84" s="309"/>
      <c r="F84" s="309"/>
      <c r="G84" s="309"/>
      <c r="H84" s="310"/>
      <c r="I84" s="111"/>
      <c r="J84" s="111"/>
      <c r="K84" s="111"/>
      <c r="L84" s="111"/>
    </row>
    <row r="85" spans="1:12" s="14" customFormat="1" ht="27" customHeight="1" x14ac:dyDescent="0.45">
      <c r="A85" s="108" t="s">
        <v>54</v>
      </c>
      <c r="B85" s="115">
        <v>1</v>
      </c>
      <c r="C85" s="308" t="s">
        <v>112</v>
      </c>
      <c r="D85" s="309"/>
      <c r="E85" s="309"/>
      <c r="F85" s="309"/>
      <c r="G85" s="309"/>
      <c r="H85" s="310"/>
      <c r="I85" s="111"/>
      <c r="J85" s="111"/>
      <c r="K85" s="111"/>
      <c r="L85" s="111"/>
    </row>
    <row r="86" spans="1:12" s="14" customFormat="1" ht="18" x14ac:dyDescent="0.35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" x14ac:dyDescent="0.35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5">
      <c r="A88" s="106"/>
      <c r="B88" s="106"/>
    </row>
    <row r="89" spans="1:12" ht="27" customHeight="1" x14ac:dyDescent="0.45">
      <c r="A89" s="121" t="s">
        <v>58</v>
      </c>
      <c r="B89" s="122">
        <v>50</v>
      </c>
      <c r="D89" s="201" t="s">
        <v>59</v>
      </c>
      <c r="E89" s="202"/>
      <c r="F89" s="311" t="s">
        <v>60</v>
      </c>
      <c r="G89" s="312"/>
    </row>
    <row r="90" spans="1:12" ht="27" customHeight="1" x14ac:dyDescent="0.45">
      <c r="A90" s="123" t="s">
        <v>61</v>
      </c>
      <c r="B90" s="124">
        <v>4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5">
      <c r="A91" s="123" t="s">
        <v>66</v>
      </c>
      <c r="B91" s="124">
        <v>20</v>
      </c>
      <c r="C91" s="205">
        <v>1</v>
      </c>
      <c r="D91" s="131">
        <v>11679698</v>
      </c>
      <c r="E91" s="132">
        <f>IF(ISBLANK(D91),"-",$D$101/$D$98*D91)</f>
        <v>13211766.105876038</v>
      </c>
      <c r="F91" s="131">
        <v>13010741</v>
      </c>
      <c r="G91" s="133">
        <f>IF(ISBLANK(F91),"-",$D$101/$F$98*F91)</f>
        <v>13573452.923144201</v>
      </c>
      <c r="I91" s="134"/>
    </row>
    <row r="92" spans="1:12" ht="26.25" customHeight="1" x14ac:dyDescent="0.45">
      <c r="A92" s="123" t="s">
        <v>67</v>
      </c>
      <c r="B92" s="124">
        <v>1</v>
      </c>
      <c r="C92" s="190">
        <v>2</v>
      </c>
      <c r="D92" s="136">
        <v>11674404</v>
      </c>
      <c r="E92" s="137">
        <f>IF(ISBLANK(D92),"-",$D$101/$D$98*D92)</f>
        <v>13205777.672804866</v>
      </c>
      <c r="F92" s="136">
        <v>12984883</v>
      </c>
      <c r="G92" s="138">
        <f>IF(ISBLANK(F92),"-",$D$101/$F$98*F92)</f>
        <v>13546476.569861427</v>
      </c>
      <c r="I92" s="313">
        <f>ABS((F96/D96*D95)-F95)/D95</f>
        <v>2.7979770892938686E-2</v>
      </c>
    </row>
    <row r="93" spans="1:12" ht="26.25" customHeight="1" x14ac:dyDescent="0.45">
      <c r="A93" s="123" t="s">
        <v>68</v>
      </c>
      <c r="B93" s="124">
        <v>1</v>
      </c>
      <c r="C93" s="190">
        <v>3</v>
      </c>
      <c r="D93" s="136">
        <v>11668187</v>
      </c>
      <c r="E93" s="137">
        <f>IF(ISBLANK(D93),"-",$D$101/$D$98*D93)</f>
        <v>13198745.16649518</v>
      </c>
      <c r="F93" s="136">
        <v>12958216</v>
      </c>
      <c r="G93" s="138">
        <f>IF(ISBLANK(F93),"-",$D$101/$F$98*F93)</f>
        <v>13518656.227491882</v>
      </c>
      <c r="I93" s="313"/>
    </row>
    <row r="94" spans="1:12" ht="27" customHeight="1" x14ac:dyDescent="0.45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5">
      <c r="A95" s="123" t="s">
        <v>70</v>
      </c>
      <c r="B95" s="124">
        <v>1</v>
      </c>
      <c r="C95" s="208" t="s">
        <v>71</v>
      </c>
      <c r="D95" s="209">
        <f>AVERAGE(D91:D94)</f>
        <v>11674096.333333334</v>
      </c>
      <c r="E95" s="147">
        <f>AVERAGE(E91:E94)</f>
        <v>13205429.648392029</v>
      </c>
      <c r="F95" s="210">
        <f>AVERAGE(F91:F94)</f>
        <v>12984613.333333334</v>
      </c>
      <c r="G95" s="211">
        <f>AVERAGE(G91:G94)</f>
        <v>13546195.240165835</v>
      </c>
    </row>
    <row r="96" spans="1:12" ht="26.25" customHeight="1" x14ac:dyDescent="0.45">
      <c r="A96" s="123" t="s">
        <v>72</v>
      </c>
      <c r="B96" s="109">
        <v>1</v>
      </c>
      <c r="C96" s="212" t="s">
        <v>113</v>
      </c>
      <c r="D96" s="213">
        <v>24.68</v>
      </c>
      <c r="E96" s="139"/>
      <c r="F96" s="151">
        <v>26.76</v>
      </c>
    </row>
    <row r="97" spans="1:10" ht="26.25" customHeight="1" x14ac:dyDescent="0.45">
      <c r="A97" s="123" t="s">
        <v>74</v>
      </c>
      <c r="B97" s="109">
        <v>1</v>
      </c>
      <c r="C97" s="214" t="s">
        <v>114</v>
      </c>
      <c r="D97" s="215">
        <f>D96*$B$87</f>
        <v>24.68</v>
      </c>
      <c r="E97" s="154"/>
      <c r="F97" s="153">
        <f>F96*$B$87</f>
        <v>26.76</v>
      </c>
    </row>
    <row r="98" spans="1:10" ht="19.5" customHeight="1" x14ac:dyDescent="0.35">
      <c r="A98" s="123" t="s">
        <v>76</v>
      </c>
      <c r="B98" s="216">
        <f>(B97/B96)*(B95/B94)*(B93/B92)*(B91/B90)*B89</f>
        <v>250</v>
      </c>
      <c r="C98" s="214" t="s">
        <v>115</v>
      </c>
      <c r="D98" s="217">
        <f>D97*$B$83/100</f>
        <v>24.5566</v>
      </c>
      <c r="E98" s="157"/>
      <c r="F98" s="156">
        <f>F97*$B$83/100</f>
        <v>26.626200000000004</v>
      </c>
    </row>
    <row r="99" spans="1:10" ht="19.5" customHeight="1" x14ac:dyDescent="0.35">
      <c r="A99" s="299" t="s">
        <v>78</v>
      </c>
      <c r="B99" s="314"/>
      <c r="C99" s="214" t="s">
        <v>116</v>
      </c>
      <c r="D99" s="218">
        <f>D98/$B$98</f>
        <v>9.8226399999999991E-2</v>
      </c>
      <c r="E99" s="157"/>
      <c r="F99" s="160">
        <f>F98/$B$98</f>
        <v>0.10650480000000001</v>
      </c>
      <c r="G99" s="219"/>
      <c r="H99" s="149"/>
    </row>
    <row r="100" spans="1:10" ht="19.5" customHeight="1" x14ac:dyDescent="0.35">
      <c r="A100" s="301"/>
      <c r="B100" s="315"/>
      <c r="C100" s="214" t="s">
        <v>80</v>
      </c>
      <c r="D100" s="220">
        <f>$B$56/$B$116</f>
        <v>0.1111111111111111</v>
      </c>
      <c r="F100" s="165"/>
      <c r="G100" s="221"/>
      <c r="H100" s="149"/>
    </row>
    <row r="101" spans="1:10" ht="18" x14ac:dyDescent="0.35">
      <c r="C101" s="214" t="s">
        <v>81</v>
      </c>
      <c r="D101" s="215">
        <f>D100*$B$98</f>
        <v>27.777777777777775</v>
      </c>
      <c r="F101" s="165"/>
      <c r="G101" s="219"/>
      <c r="H101" s="149"/>
    </row>
    <row r="102" spans="1:10" ht="19.5" customHeight="1" x14ac:dyDescent="0.35">
      <c r="C102" s="222" t="s">
        <v>82</v>
      </c>
      <c r="D102" s="223">
        <f>D101/B34</f>
        <v>27.777777777777775</v>
      </c>
      <c r="F102" s="169"/>
      <c r="G102" s="219"/>
      <c r="H102" s="149"/>
      <c r="J102" s="224"/>
    </row>
    <row r="103" spans="1:10" ht="18" x14ac:dyDescent="0.35">
      <c r="C103" s="225" t="s">
        <v>117</v>
      </c>
      <c r="D103" s="226">
        <f>AVERAGE(E91:E94,G91:G94)</f>
        <v>13375812.444278933</v>
      </c>
      <c r="F103" s="169"/>
      <c r="G103" s="227"/>
      <c r="H103" s="149"/>
      <c r="J103" s="228"/>
    </row>
    <row r="104" spans="1:10" ht="18" x14ac:dyDescent="0.35">
      <c r="C104" s="192" t="s">
        <v>84</v>
      </c>
      <c r="D104" s="229">
        <f>STDEV(E91:E94,G91:G94)/D103</f>
        <v>1.4017319527546526E-2</v>
      </c>
      <c r="F104" s="169"/>
      <c r="G104" s="219"/>
      <c r="H104" s="149"/>
      <c r="J104" s="228"/>
    </row>
    <row r="105" spans="1:10" ht="19.5" customHeight="1" x14ac:dyDescent="0.35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5">
      <c r="A106" s="173"/>
      <c r="B106" s="173"/>
      <c r="C106" s="173"/>
      <c r="D106" s="173"/>
      <c r="E106" s="173"/>
    </row>
    <row r="107" spans="1:10" ht="27" customHeight="1" x14ac:dyDescent="0.45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5">
      <c r="A108" s="123" t="s">
        <v>122</v>
      </c>
      <c r="B108" s="124">
        <v>1</v>
      </c>
      <c r="C108" s="274">
        <v>1</v>
      </c>
      <c r="D108" s="275">
        <v>12021964</v>
      </c>
      <c r="E108" s="249">
        <f t="shared" ref="E108:E113" si="1">IF(ISBLANK(D108),"-",D108/$D$103*$D$100*$B$116)</f>
        <v>89.878383463293858</v>
      </c>
      <c r="F108" s="276">
        <f t="shared" ref="F108:F113" si="2">IF(ISBLANK(D108), "-", (E108/$B$56)*100)</f>
        <v>89.878383463293858</v>
      </c>
    </row>
    <row r="109" spans="1:10" ht="26.25" customHeight="1" x14ac:dyDescent="0.45">
      <c r="A109" s="123" t="s">
        <v>95</v>
      </c>
      <c r="B109" s="124">
        <v>1</v>
      </c>
      <c r="C109" s="270">
        <v>2</v>
      </c>
      <c r="D109" s="272">
        <v>12154589</v>
      </c>
      <c r="E109" s="250">
        <f t="shared" si="1"/>
        <v>90.869912019428227</v>
      </c>
      <c r="F109" s="277">
        <f t="shared" si="2"/>
        <v>90.869912019428227</v>
      </c>
    </row>
    <row r="110" spans="1:10" ht="26.25" customHeight="1" x14ac:dyDescent="0.45">
      <c r="A110" s="123" t="s">
        <v>96</v>
      </c>
      <c r="B110" s="124">
        <v>1</v>
      </c>
      <c r="C110" s="270">
        <v>3</v>
      </c>
      <c r="D110" s="272">
        <v>12116456</v>
      </c>
      <c r="E110" s="250">
        <f t="shared" si="1"/>
        <v>90.584822794688762</v>
      </c>
      <c r="F110" s="277">
        <f t="shared" si="2"/>
        <v>90.584822794688762</v>
      </c>
    </row>
    <row r="111" spans="1:10" ht="26.25" customHeight="1" x14ac:dyDescent="0.45">
      <c r="A111" s="123" t="s">
        <v>97</v>
      </c>
      <c r="B111" s="124">
        <v>1</v>
      </c>
      <c r="C111" s="270">
        <v>4</v>
      </c>
      <c r="D111" s="272">
        <v>12088612</v>
      </c>
      <c r="E111" s="250">
        <f t="shared" si="1"/>
        <v>90.37665600021559</v>
      </c>
      <c r="F111" s="277">
        <f t="shared" si="2"/>
        <v>90.37665600021559</v>
      </c>
    </row>
    <row r="112" spans="1:10" ht="26.25" customHeight="1" x14ac:dyDescent="0.45">
      <c r="A112" s="123" t="s">
        <v>98</v>
      </c>
      <c r="B112" s="124">
        <v>1</v>
      </c>
      <c r="C112" s="270">
        <v>5</v>
      </c>
      <c r="D112" s="272">
        <v>12110478</v>
      </c>
      <c r="E112" s="250">
        <f t="shared" si="1"/>
        <v>90.540130182371541</v>
      </c>
      <c r="F112" s="277">
        <f t="shared" si="2"/>
        <v>90.540130182371541</v>
      </c>
    </row>
    <row r="113" spans="1:10" ht="27" customHeight="1" x14ac:dyDescent="0.45">
      <c r="A113" s="123" t="s">
        <v>100</v>
      </c>
      <c r="B113" s="124">
        <v>1</v>
      </c>
      <c r="C113" s="271">
        <v>6</v>
      </c>
      <c r="D113" s="273">
        <v>12296697</v>
      </c>
      <c r="E113" s="251">
        <f t="shared" si="1"/>
        <v>91.932337203632883</v>
      </c>
      <c r="F113" s="278">
        <f t="shared" si="2"/>
        <v>91.932337203632883</v>
      </c>
    </row>
    <row r="114" spans="1:10" ht="27" customHeight="1" x14ac:dyDescent="0.45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5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90.69704027727181</v>
      </c>
      <c r="F115" s="280">
        <f>AVERAGE(F108:F113)</f>
        <v>90.69704027727181</v>
      </c>
    </row>
    <row r="116" spans="1:10" ht="27" customHeight="1" x14ac:dyDescent="0.45">
      <c r="A116" s="123" t="s">
        <v>103</v>
      </c>
      <c r="B116" s="155">
        <f>(B115/B114)*(B113/B112)*(B111/B110)*(B109/B108)*B107</f>
        <v>900</v>
      </c>
      <c r="C116" s="233"/>
      <c r="D116" s="257" t="s">
        <v>84</v>
      </c>
      <c r="E116" s="255">
        <f>STDEV(E108:E113)/E115</f>
        <v>7.5843826281364185E-3</v>
      </c>
      <c r="F116" s="234">
        <f>STDEV(F108:F113)/F115</f>
        <v>7.5843826281364185E-3</v>
      </c>
      <c r="I116" s="97"/>
    </row>
    <row r="117" spans="1:10" ht="27" customHeight="1" x14ac:dyDescent="0.45">
      <c r="A117" s="299" t="s">
        <v>78</v>
      </c>
      <c r="B117" s="300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 x14ac:dyDescent="0.35">
      <c r="A118" s="301"/>
      <c r="B118" s="302"/>
      <c r="C118" s="97"/>
      <c r="D118" s="259"/>
      <c r="E118" s="327" t="s">
        <v>123</v>
      </c>
      <c r="F118" s="328"/>
      <c r="G118" s="97"/>
      <c r="H118" s="97"/>
      <c r="I118" s="97"/>
    </row>
    <row r="119" spans="1:10" ht="25.5" customHeight="1" x14ac:dyDescent="0.45">
      <c r="A119" s="244"/>
      <c r="B119" s="119"/>
      <c r="C119" s="97"/>
      <c r="D119" s="257" t="s">
        <v>124</v>
      </c>
      <c r="E119" s="262">
        <f>MIN(E108:E113)</f>
        <v>89.878383463293858</v>
      </c>
      <c r="F119" s="281">
        <f>MIN(F108:F113)</f>
        <v>89.878383463293858</v>
      </c>
      <c r="G119" s="97"/>
      <c r="H119" s="97"/>
      <c r="I119" s="97"/>
    </row>
    <row r="120" spans="1:10" ht="24" customHeight="1" x14ac:dyDescent="0.45">
      <c r="A120" s="244"/>
      <c r="B120" s="119"/>
      <c r="C120" s="97"/>
      <c r="D120" s="166" t="s">
        <v>125</v>
      </c>
      <c r="E120" s="263">
        <f>MAX(E108:E113)</f>
        <v>91.932337203632883</v>
      </c>
      <c r="F120" s="282">
        <f>MAX(F108:F113)</f>
        <v>91.932337203632883</v>
      </c>
      <c r="G120" s="97"/>
      <c r="H120" s="97"/>
      <c r="I120" s="97"/>
    </row>
    <row r="121" spans="1:10" ht="27" customHeight="1" x14ac:dyDescent="0.35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5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" x14ac:dyDescent="0.35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85">
      <c r="A124" s="107" t="s">
        <v>106</v>
      </c>
      <c r="B124" s="196" t="s">
        <v>126</v>
      </c>
      <c r="C124" s="303" t="str">
        <f>B26</f>
        <v>RITONAVIR</v>
      </c>
      <c r="D124" s="303"/>
      <c r="E124" s="197" t="s">
        <v>127</v>
      </c>
      <c r="F124" s="197"/>
      <c r="G124" s="283">
        <f>F115</f>
        <v>90.69704027727181</v>
      </c>
      <c r="H124" s="97"/>
      <c r="I124" s="97"/>
    </row>
    <row r="125" spans="1:10" ht="45.75" customHeight="1" x14ac:dyDescent="0.85">
      <c r="A125" s="107"/>
      <c r="B125" s="196" t="s">
        <v>128</v>
      </c>
      <c r="C125" s="108" t="s">
        <v>129</v>
      </c>
      <c r="D125" s="283">
        <f>MIN(F108:F113)</f>
        <v>89.878383463293858</v>
      </c>
      <c r="E125" s="208" t="s">
        <v>130</v>
      </c>
      <c r="F125" s="283">
        <f>MAX(F108:F113)</f>
        <v>91.932337203632883</v>
      </c>
      <c r="G125" s="198"/>
      <c r="H125" s="97"/>
      <c r="I125" s="97"/>
    </row>
    <row r="126" spans="1:10" ht="19.5" customHeight="1" x14ac:dyDescent="0.35">
      <c r="A126" s="236"/>
      <c r="B126" s="236"/>
      <c r="C126" s="237"/>
      <c r="D126" s="237"/>
      <c r="E126" s="237"/>
      <c r="F126" s="237"/>
      <c r="G126" s="237"/>
      <c r="H126" s="237"/>
    </row>
    <row r="127" spans="1:10" ht="18" x14ac:dyDescent="0.35">
      <c r="B127" s="304" t="s">
        <v>26</v>
      </c>
      <c r="C127" s="304"/>
      <c r="E127" s="203" t="s">
        <v>27</v>
      </c>
      <c r="F127" s="238"/>
      <c r="G127" s="304" t="s">
        <v>28</v>
      </c>
      <c r="H127" s="304"/>
    </row>
    <row r="128" spans="1:10" ht="69.900000000000006" customHeight="1" x14ac:dyDescent="0.35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00000000000006" customHeight="1" x14ac:dyDescent="0.35">
      <c r="A129" s="239" t="s">
        <v>30</v>
      </c>
      <c r="B129" s="242"/>
      <c r="C129" s="242"/>
      <c r="E129" s="242"/>
      <c r="F129" s="97"/>
      <c r="G129" s="243"/>
      <c r="H129" s="243"/>
    </row>
    <row r="130" spans="1:9" ht="18" x14ac:dyDescent="0.35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" x14ac:dyDescent="0.35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" x14ac:dyDescent="0.35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" x14ac:dyDescent="0.35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" x14ac:dyDescent="0.35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" x14ac:dyDescent="0.35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" x14ac:dyDescent="0.35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" x14ac:dyDescent="0.35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" x14ac:dyDescent="0.35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RITONAVIR</vt:lpstr>
      <vt:lpstr>RITONAVIR!Print_Area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2018-03-27T12:05:51Z</cp:lastPrinted>
  <dcterms:created xsi:type="dcterms:W3CDTF">2005-07-05T10:19:27Z</dcterms:created>
  <dcterms:modified xsi:type="dcterms:W3CDTF">2018-03-27T12:10:09Z</dcterms:modified>
</cp:coreProperties>
</file>