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390" yWindow="555" windowWidth="19815" windowHeight="9405"/>
  </bookViews>
  <sheets>
    <sheet name="SST LAMIVUDINE" sheetId="1" r:id="rId1"/>
    <sheet name="SST TENOFORVIR" sheetId="7" r:id="rId2"/>
    <sheet name="SST EFAVIRENZ" sheetId="8" r:id="rId3"/>
    <sheet name="Uniformity" sheetId="2" r:id="rId4"/>
    <sheet name="Lamivudine" sheetId="3" r:id="rId5"/>
    <sheet name="TENOFOVIR" sheetId="4" r:id="rId6"/>
    <sheet name="EFAVIRENZ" sheetId="6" r:id="rId7"/>
  </sheets>
  <definedNames>
    <definedName name="_xlnm.Print_Area" localSheetId="6">EFAVIRENZ!$A$1:$I$132</definedName>
    <definedName name="_xlnm.Print_Area" localSheetId="4">Lamivudine!$A$1:$I$135</definedName>
    <definedName name="_xlnm.Print_Area" localSheetId="2">'SST EFAVIRENZ'!$A$15:$H$62</definedName>
    <definedName name="_xlnm.Print_Area" localSheetId="0">'SST LAMIVUDINE'!$A$15:$G$62</definedName>
    <definedName name="_xlnm.Print_Area" localSheetId="1">'SST TENOFORVIR'!$A$15:$G$62</definedName>
    <definedName name="_xlnm.Print_Area" localSheetId="5">TENOFOVIR!$A$1:$J$132</definedName>
    <definedName name="_xlnm.Print_Area" localSheetId="3">Uniformity!$A$12:$Q$62</definedName>
  </definedNames>
  <calcPr calcId="145621"/>
</workbook>
</file>

<file path=xl/calcChain.xml><?xml version="1.0" encoding="utf-8"?>
<calcChain xmlns="http://schemas.openxmlformats.org/spreadsheetml/2006/main">
  <c r="B42" i="8" l="1"/>
  <c r="B42" i="7"/>
  <c r="B21" i="7"/>
  <c r="B42" i="1"/>
  <c r="B53" i="8"/>
  <c r="E51" i="8"/>
  <c r="D51" i="8"/>
  <c r="C51" i="8"/>
  <c r="B51" i="8"/>
  <c r="B52" i="8" s="1"/>
  <c r="B32" i="8"/>
  <c r="E30" i="8"/>
  <c r="D30" i="8"/>
  <c r="C30" i="8"/>
  <c r="B30" i="8"/>
  <c r="B31" i="8" s="1"/>
  <c r="B21" i="8"/>
  <c r="B53" i="7"/>
  <c r="E51" i="7"/>
  <c r="D51" i="7"/>
  <c r="C51" i="7"/>
  <c r="B51" i="7"/>
  <c r="B52" i="7" s="1"/>
  <c r="B32" i="7"/>
  <c r="E30" i="7"/>
  <c r="D30" i="7"/>
  <c r="C30" i="7"/>
  <c r="B30" i="7"/>
  <c r="B31" i="7" s="1"/>
  <c r="B21" i="1"/>
  <c r="C124" i="6"/>
  <c r="B116" i="6"/>
  <c r="F113" i="6"/>
  <c r="E113" i="6"/>
  <c r="E112" i="6"/>
  <c r="F112" i="6" s="1"/>
  <c r="F111" i="6"/>
  <c r="E111" i="6"/>
  <c r="E110" i="6"/>
  <c r="F110" i="6" s="1"/>
  <c r="F109" i="6"/>
  <c r="E109" i="6"/>
  <c r="E108" i="6"/>
  <c r="D100" i="6"/>
  <c r="B98" i="6"/>
  <c r="F95" i="6"/>
  <c r="D95" i="6"/>
  <c r="I92" i="6" s="1"/>
  <c r="G94" i="6"/>
  <c r="E94" i="6"/>
  <c r="B87" i="6"/>
  <c r="F97" i="6" s="1"/>
  <c r="B81" i="6"/>
  <c r="B83" i="6" s="1"/>
  <c r="B80" i="6"/>
  <c r="B79" i="6"/>
  <c r="C76" i="6"/>
  <c r="H71" i="6"/>
  <c r="G71" i="6"/>
  <c r="B68" i="6"/>
  <c r="B69" i="6" s="1"/>
  <c r="H67" i="6"/>
  <c r="G67" i="6"/>
  <c r="H63" i="6"/>
  <c r="G63" i="6"/>
  <c r="B57" i="6"/>
  <c r="C56" i="6"/>
  <c r="B55" i="6"/>
  <c r="B45" i="6"/>
  <c r="D48" i="6" s="1"/>
  <c r="F44" i="6"/>
  <c r="F42" i="6"/>
  <c r="D42" i="6"/>
  <c r="G41" i="6"/>
  <c r="E41" i="6"/>
  <c r="B34" i="6"/>
  <c r="D44" i="6" s="1"/>
  <c r="B30" i="6"/>
  <c r="C124" i="4"/>
  <c r="B116" i="4"/>
  <c r="D100" i="4"/>
  <c r="B98" i="4"/>
  <c r="F95" i="4"/>
  <c r="D95" i="4"/>
  <c r="B87" i="4"/>
  <c r="F97" i="4" s="1"/>
  <c r="B83" i="4"/>
  <c r="B81" i="4"/>
  <c r="B80" i="4"/>
  <c r="B79" i="4"/>
  <c r="C76" i="4"/>
  <c r="B68" i="4"/>
  <c r="C56" i="4"/>
  <c r="B55" i="4"/>
  <c r="B45" i="4"/>
  <c r="D48" i="4" s="1"/>
  <c r="F42" i="4"/>
  <c r="D42" i="4"/>
  <c r="I39" i="4" s="1"/>
  <c r="B34" i="4"/>
  <c r="B30" i="4"/>
  <c r="C124" i="3"/>
  <c r="B116" i="3"/>
  <c r="D100" i="3" s="1"/>
  <c r="B98" i="3"/>
  <c r="D97" i="3"/>
  <c r="F95" i="3"/>
  <c r="D95" i="3"/>
  <c r="B87" i="3"/>
  <c r="F97" i="3" s="1"/>
  <c r="B81" i="3"/>
  <c r="B83" i="3" s="1"/>
  <c r="B80" i="3"/>
  <c r="B79" i="3"/>
  <c r="C76" i="3"/>
  <c r="B68" i="3"/>
  <c r="C56" i="3"/>
  <c r="B55" i="3"/>
  <c r="B45" i="3"/>
  <c r="D48" i="3" s="1"/>
  <c r="F42" i="3"/>
  <c r="D42" i="3"/>
  <c r="I39" i="3" s="1"/>
  <c r="B34" i="3"/>
  <c r="D44" i="3" s="1"/>
  <c r="B30" i="3"/>
  <c r="C46" i="2"/>
  <c r="B57" i="4" s="1"/>
  <c r="C45" i="2"/>
  <c r="D40" i="2"/>
  <c r="D36" i="2"/>
  <c r="D32" i="2"/>
  <c r="D29" i="2"/>
  <c r="D28" i="2"/>
  <c r="D25" i="2"/>
  <c r="D24" i="2"/>
  <c r="C19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E115" i="6" l="1"/>
  <c r="E116" i="6" s="1"/>
  <c r="F108" i="6"/>
  <c r="F125" i="6" s="1"/>
  <c r="D101" i="6"/>
  <c r="D102" i="6" s="1"/>
  <c r="I92" i="4"/>
  <c r="D101" i="3"/>
  <c r="D102" i="3" s="1"/>
  <c r="E120" i="6"/>
  <c r="I39" i="6"/>
  <c r="D45" i="6"/>
  <c r="D46" i="6" s="1"/>
  <c r="F45" i="6"/>
  <c r="F46" i="6" s="1"/>
  <c r="D49" i="6"/>
  <c r="E40" i="6"/>
  <c r="G38" i="6"/>
  <c r="G39" i="6"/>
  <c r="E39" i="6"/>
  <c r="F98" i="6"/>
  <c r="E119" i="6"/>
  <c r="D97" i="6"/>
  <c r="D98" i="6" s="1"/>
  <c r="F119" i="6"/>
  <c r="E117" i="6"/>
  <c r="D125" i="6"/>
  <c r="F117" i="6"/>
  <c r="D101" i="4"/>
  <c r="D102" i="4" s="1"/>
  <c r="D49" i="4"/>
  <c r="F44" i="4"/>
  <c r="F45" i="4" s="1"/>
  <c r="D44" i="4"/>
  <c r="D45" i="4" s="1"/>
  <c r="F98" i="4"/>
  <c r="F99" i="4" s="1"/>
  <c r="I92" i="3"/>
  <c r="D45" i="3"/>
  <c r="D46" i="3" s="1"/>
  <c r="F98" i="3"/>
  <c r="F99" i="3" s="1"/>
  <c r="D49" i="3"/>
  <c r="G94" i="4"/>
  <c r="G91" i="4"/>
  <c r="D98" i="3"/>
  <c r="E92" i="3" s="1"/>
  <c r="B69" i="4"/>
  <c r="D33" i="2"/>
  <c r="D37" i="2"/>
  <c r="D41" i="2"/>
  <c r="C50" i="2"/>
  <c r="D27" i="2"/>
  <c r="D31" i="2"/>
  <c r="D35" i="2"/>
  <c r="D39" i="2"/>
  <c r="D43" i="2"/>
  <c r="C49" i="2"/>
  <c r="F44" i="3"/>
  <c r="F45" i="3" s="1"/>
  <c r="F46" i="3" s="1"/>
  <c r="D97" i="4"/>
  <c r="D98" i="4" s="1"/>
  <c r="D99" i="4" s="1"/>
  <c r="D49" i="2"/>
  <c r="B57" i="3"/>
  <c r="B69" i="3" s="1"/>
  <c r="D26" i="2"/>
  <c r="D30" i="2"/>
  <c r="D34" i="2"/>
  <c r="D38" i="2"/>
  <c r="D42" i="2"/>
  <c r="B49" i="2"/>
  <c r="D50" i="2"/>
  <c r="F120" i="6" l="1"/>
  <c r="F115" i="6"/>
  <c r="G124" i="6" s="1"/>
  <c r="G92" i="4"/>
  <c r="G93" i="4"/>
  <c r="G95" i="4" s="1"/>
  <c r="F99" i="6"/>
  <c r="G92" i="6"/>
  <c r="G91" i="6"/>
  <c r="G93" i="6"/>
  <c r="D99" i="6"/>
  <c r="E93" i="6"/>
  <c r="E92" i="6"/>
  <c r="E91" i="6"/>
  <c r="E38" i="6"/>
  <c r="E42" i="6" s="1"/>
  <c r="G40" i="6"/>
  <c r="G42" i="6" s="1"/>
  <c r="G40" i="4"/>
  <c r="F46" i="4"/>
  <c r="G41" i="4"/>
  <c r="G39" i="4"/>
  <c r="E38" i="4"/>
  <c r="D46" i="4"/>
  <c r="E39" i="4"/>
  <c r="E40" i="4"/>
  <c r="G38" i="4"/>
  <c r="E93" i="4"/>
  <c r="E41" i="4"/>
  <c r="G92" i="3"/>
  <c r="G93" i="3"/>
  <c r="G94" i="3"/>
  <c r="G91" i="3"/>
  <c r="G39" i="3"/>
  <c r="E38" i="3"/>
  <c r="E40" i="3"/>
  <c r="E39" i="3"/>
  <c r="E41" i="3"/>
  <c r="G38" i="3"/>
  <c r="D99" i="3"/>
  <c r="E93" i="3"/>
  <c r="E91" i="3"/>
  <c r="E92" i="4"/>
  <c r="E94" i="4"/>
  <c r="G40" i="3"/>
  <c r="G41" i="3"/>
  <c r="E91" i="4"/>
  <c r="E94" i="3"/>
  <c r="F116" i="6" l="1"/>
  <c r="G95" i="6"/>
  <c r="D103" i="6"/>
  <c r="D104" i="6" s="1"/>
  <c r="E95" i="6"/>
  <c r="D105" i="6"/>
  <c r="D52" i="6"/>
  <c r="D50" i="6"/>
  <c r="G70" i="6" s="1"/>
  <c r="H70" i="6" s="1"/>
  <c r="G42" i="4"/>
  <c r="E42" i="4"/>
  <c r="D50" i="4"/>
  <c r="G70" i="4" s="1"/>
  <c r="H70" i="4" s="1"/>
  <c r="D52" i="4"/>
  <c r="G95" i="3"/>
  <c r="E42" i="3"/>
  <c r="D50" i="3"/>
  <c r="G71" i="3" s="1"/>
  <c r="H71" i="3" s="1"/>
  <c r="D52" i="3"/>
  <c r="G42" i="3"/>
  <c r="E95" i="3"/>
  <c r="D105" i="3"/>
  <c r="D103" i="3"/>
  <c r="D103" i="4"/>
  <c r="E95" i="4"/>
  <c r="D105" i="4"/>
  <c r="D51" i="4" l="1"/>
  <c r="G69" i="6"/>
  <c r="H69" i="6" s="1"/>
  <c r="G62" i="6"/>
  <c r="H62" i="6" s="1"/>
  <c r="D51" i="6"/>
  <c r="G68" i="6"/>
  <c r="H68" i="6" s="1"/>
  <c r="G61" i="6"/>
  <c r="H61" i="6" s="1"/>
  <c r="G64" i="6"/>
  <c r="H64" i="6" s="1"/>
  <c r="G65" i="6"/>
  <c r="H65" i="6" s="1"/>
  <c r="G60" i="6"/>
  <c r="G66" i="6"/>
  <c r="H66" i="6" s="1"/>
  <c r="G69" i="4"/>
  <c r="H69" i="4" s="1"/>
  <c r="G71" i="4"/>
  <c r="H71" i="4" s="1"/>
  <c r="G60" i="4"/>
  <c r="H60" i="4" s="1"/>
  <c r="G63" i="4"/>
  <c r="H63" i="4" s="1"/>
  <c r="G62" i="4"/>
  <c r="H62" i="4" s="1"/>
  <c r="G65" i="4"/>
  <c r="H65" i="4" s="1"/>
  <c r="G64" i="4"/>
  <c r="H64" i="4" s="1"/>
  <c r="G68" i="4"/>
  <c r="H68" i="4" s="1"/>
  <c r="G67" i="4"/>
  <c r="H67" i="4" s="1"/>
  <c r="G66" i="4"/>
  <c r="H66" i="4" s="1"/>
  <c r="G61" i="4"/>
  <c r="H61" i="4" s="1"/>
  <c r="G70" i="3"/>
  <c r="H70" i="3" s="1"/>
  <c r="D51" i="3"/>
  <c r="G68" i="3"/>
  <c r="H68" i="3" s="1"/>
  <c r="G61" i="3"/>
  <c r="H61" i="3" s="1"/>
  <c r="G69" i="3"/>
  <c r="H69" i="3" s="1"/>
  <c r="G63" i="3"/>
  <c r="H63" i="3" s="1"/>
  <c r="G64" i="3"/>
  <c r="H64" i="3" s="1"/>
  <c r="G65" i="3"/>
  <c r="H65" i="3" s="1"/>
  <c r="G60" i="3"/>
  <c r="G66" i="3"/>
  <c r="H66" i="3" s="1"/>
  <c r="G67" i="3"/>
  <c r="H67" i="3" s="1"/>
  <c r="G62" i="3"/>
  <c r="H62" i="3" s="1"/>
  <c r="E113" i="4"/>
  <c r="F113" i="4" s="1"/>
  <c r="E111" i="4"/>
  <c r="F111" i="4" s="1"/>
  <c r="E109" i="4"/>
  <c r="F109" i="4" s="1"/>
  <c r="D104" i="4"/>
  <c r="E112" i="4"/>
  <c r="F112" i="4" s="1"/>
  <c r="E110" i="4"/>
  <c r="F110" i="4" s="1"/>
  <c r="E108" i="4"/>
  <c r="E112" i="3"/>
  <c r="F112" i="3" s="1"/>
  <c r="E110" i="3"/>
  <c r="F110" i="3" s="1"/>
  <c r="E108" i="3"/>
  <c r="E113" i="3"/>
  <c r="F113" i="3" s="1"/>
  <c r="E111" i="3"/>
  <c r="F111" i="3" s="1"/>
  <c r="E109" i="3"/>
  <c r="F109" i="3" s="1"/>
  <c r="D104" i="3"/>
  <c r="G72" i="6" l="1"/>
  <c r="G73" i="6" s="1"/>
  <c r="H60" i="6"/>
  <c r="H74" i="6" s="1"/>
  <c r="G74" i="6"/>
  <c r="G72" i="4"/>
  <c r="G73" i="4" s="1"/>
  <c r="G74" i="4"/>
  <c r="G72" i="3"/>
  <c r="G73" i="3" s="1"/>
  <c r="G74" i="3"/>
  <c r="H60" i="3"/>
  <c r="H72" i="3" s="1"/>
  <c r="H74" i="3"/>
  <c r="E120" i="4"/>
  <c r="E117" i="4"/>
  <c r="F108" i="4"/>
  <c r="E115" i="4"/>
  <c r="E116" i="4" s="1"/>
  <c r="E119" i="4"/>
  <c r="H74" i="4"/>
  <c r="H72" i="4"/>
  <c r="E115" i="3"/>
  <c r="E116" i="3" s="1"/>
  <c r="E119" i="3"/>
  <c r="E120" i="3"/>
  <c r="E117" i="3"/>
  <c r="F108" i="3"/>
  <c r="H72" i="6" l="1"/>
  <c r="H73" i="6" s="1"/>
  <c r="G76" i="4"/>
  <c r="H73" i="4"/>
  <c r="F125" i="4"/>
  <c r="F120" i="4"/>
  <c r="F117" i="4"/>
  <c r="D125" i="4"/>
  <c r="F115" i="4"/>
  <c r="F119" i="4"/>
  <c r="F119" i="3"/>
  <c r="F125" i="3"/>
  <c r="F120" i="3"/>
  <c r="F117" i="3"/>
  <c r="D125" i="3"/>
  <c r="F115" i="3"/>
  <c r="G76" i="3"/>
  <c r="H73" i="3"/>
  <c r="G76" i="6" l="1"/>
  <c r="G124" i="3"/>
  <c r="F116" i="3"/>
  <c r="G124" i="4"/>
  <c r="F116" i="4"/>
</calcChain>
</file>

<file path=xl/sharedStrings.xml><?xml version="1.0" encoding="utf-8"?>
<sst xmlns="http://schemas.openxmlformats.org/spreadsheetml/2006/main" count="662" uniqueCount="142">
  <si>
    <t>HPLC System Suitability Report</t>
  </si>
  <si>
    <t>Analysis Data</t>
  </si>
  <si>
    <t>Assay</t>
  </si>
  <si>
    <t>Sample(s)</t>
  </si>
  <si>
    <t>Reference Substance:</t>
  </si>
  <si>
    <t>EFAVIRENZ 600 mg, LAMIVUDINE 300 mg and TENOFOVIR DISOPROXIL FUMARATE 300 mgTABLETS</t>
  </si>
  <si>
    <t>% age Purity:</t>
  </si>
  <si>
    <t>NDQB201803337</t>
  </si>
  <si>
    <t>Weight (mg):</t>
  </si>
  <si>
    <t>Efavirenz 600mg, Lamivudine 300mg and Tenofovir Disoproxil Fumarate 300mg Tablets</t>
  </si>
  <si>
    <t>Standard Conc (mg/mL):</t>
  </si>
  <si>
    <t>Each film-coated tablet contains: Efavirenz 600 mg, Lamivudine USP 300 mg and Tenofovir DisoproxilFumarate 300 mg equivalent to Tenofovir Disoproxil 245 mg.</t>
  </si>
  <si>
    <t>2018-03-13 13:05:04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</si>
  <si>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</si>
  <si>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</si>
  <si>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</si>
  <si>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</si>
  <si>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</si>
  <si>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</si>
  <si>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</si>
  <si>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</si>
  <si>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</si>
  <si>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</si>
  <si>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</si>
  <si>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</si>
  <si>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</si>
  <si>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</si>
  <si>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</si>
  <si>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</si>
  <si>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</si>
  <si>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</si>
  <si>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</si>
  <si>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</si>
  <si>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</si>
  <si>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</si>
  <si>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</si>
  <si>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</si>
  <si>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</si>
  <si>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</si>
  <si>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</si>
  <si>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</si>
  <si>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</si>
  <si>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</si>
  <si>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</si>
  <si>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</si>
  <si>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</si>
  <si>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</si>
  <si>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</si>
  <si>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</si>
  <si>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</si>
  <si>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</si>
  <si>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</si>
  <si>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</si>
  <si>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</si>
  <si>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</si>
  <si>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</si>
  <si>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</si>
  <si>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</si>
  <si>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</si>
  <si>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</si>
  <si>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</si>
  <si>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</si>
  <si>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</si>
  <si>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</si>
  <si>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</si>
  <si>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</si>
  <si>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</si>
  <si>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</si>
  <si>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</si>
  <si>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</si>
  <si>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</si>
  <si>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</si>
  <si>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</si>
  <si>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</si>
  <si>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</si>
  <si>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</si>
  <si>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</si>
  <si>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</si>
  <si>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</si>
  <si>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</si>
  <si>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</si>
  <si>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</si>
  <si>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</si>
  <si>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</si>
  <si>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</si>
  <si>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</si>
  <si>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</si>
  <si>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</si>
  <si>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</si>
  <si>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</si>
  <si>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</si>
  <si>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</si>
  <si>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</si>
  <si>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</si>
  <si>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</si>
  <si>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</si>
  <si>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</si>
  <si>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</si>
  <si>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</si>
  <si>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</si>
  <si>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</si>
  <si>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</si>
  <si>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</si>
  <si>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</si>
  <si>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</si>
  <si>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</si>
  <si>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</si>
  <si>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</si>
  <si>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</si>
  <si>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</si>
  <si>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</si>
  <si>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</si>
  <si>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</si>
  <si>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</si>
  <si>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</si>
  <si>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</si>
  <si>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</si>
  <si>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</si>
  <si>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</si>
  <si>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Unit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</si>
  <si>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</si>
  <si>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</si>
  <si>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</si>
  <si>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Range</t>
  </si>
  <si>
    <t>Minimum:</t>
  </si>
  <si>
    <t>Maximum:</t>
  </si>
  <si>
    <t xml:space="preserve">The amount  of </t>
  </si>
  <si>
    <t xml:space="preserve">dissolved as a percentage of the stated  label claim is </t>
  </si>
  <si>
    <t>Range:</t>
  </si>
  <si>
    <t>Minimum</t>
  </si>
  <si>
    <t>Maximum</t>
  </si>
  <si>
    <t>LAMIVUDINE</t>
  </si>
  <si>
    <t>L3-10</t>
  </si>
  <si>
    <t>TENOFOVIR</t>
  </si>
  <si>
    <t>TENOFORVIR</t>
  </si>
  <si>
    <t>T11-10</t>
  </si>
  <si>
    <t>EFAVIRENZ</t>
  </si>
  <si>
    <t>E15-6</t>
  </si>
  <si>
    <t>TDF</t>
  </si>
  <si>
    <t xml:space="preserve">EFAVIRENZ </t>
  </si>
  <si>
    <t>The number of Theoretical Plates (USP) of Lamivudine, TDF and Efavirenz should not be less than 2000, 10000 and 10000</t>
  </si>
  <si>
    <t>The number of Theoretical Plates (USP) for all peaks is greater than 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</si>
</sst>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  <numFmt numFmtId="173" formatCode="0.00\ &quot;%&quot;"/>
    <numFmt numFmtId="174" formatCode="0.0\ &quot;%&quot;"/>
    <numFmt numFmtId="175" formatCode="0\ &quot;%&quot;"/>
  </numFmts>
  <fonts count="28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sz val="3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u/>
      <sz val="16"/>
      <color rgb="FF000000"/>
      <name val="Book Antiqua"/>
    </font>
    <font>
      <vertAlign val="superscript"/>
      <sz val="14"/>
      <color rgb="FF000000"/>
      <name val="Book Antiqua"/>
    </font>
    <font>
      <b/>
      <sz val="10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534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0" fontId="11" fillId="2" borderId="14" xfId="0" applyFont="1" applyFill="1" applyBorder="1" applyAlignment="1">
      <alignment horizont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4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0" fontId="14" fillId="2" borderId="0" xfId="0" applyFont="1" applyFill="1"/>
    <xf numFmtId="10" fontId="13" fillId="6" borderId="54" xfId="0" applyNumberFormat="1" applyFont="1" applyFill="1" applyBorder="1" applyAlignment="1">
      <alignment horizontal="center"/>
    </xf>
    <xf numFmtId="171" fontId="11" fillId="2" borderId="16" xfId="0" applyNumberFormat="1" applyFont="1" applyFill="1" applyBorder="1" applyAlignment="1">
      <alignment horizontal="right"/>
    </xf>
    <xf numFmtId="0" fontId="11" fillId="2" borderId="14" xfId="0" applyFont="1" applyFill="1" applyBorder="1" applyAlignment="1">
      <alignment horizontal="right"/>
    </xf>
    <xf numFmtId="2" fontId="13" fillId="7" borderId="55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13" fillId="7" borderId="28" xfId="0" applyFont="1" applyFill="1" applyBorder="1" applyAlignment="1">
      <alignment horizontal="center"/>
    </xf>
    <xf numFmtId="0" fontId="13" fillId="7" borderId="56" xfId="0" applyFont="1" applyFill="1" applyBorder="1" applyAlignment="1">
      <alignment horizontal="center"/>
    </xf>
    <xf numFmtId="2" fontId="13" fillId="6" borderId="54" xfId="0" applyNumberFormat="1" applyFont="1" applyFill="1" applyBorder="1" applyAlignment="1">
      <alignment horizontal="center"/>
    </xf>
    <xf numFmtId="2" fontId="13" fillId="7" borderId="46" xfId="0" applyNumberFormat="1" applyFont="1" applyFill="1" applyBorder="1" applyAlignment="1">
      <alignment horizontal="center"/>
    </xf>
    <xf numFmtId="166" fontId="11" fillId="2" borderId="43" xfId="0" applyNumberFormat="1" applyFont="1" applyFill="1" applyBorder="1" applyAlignment="1">
      <alignment horizontal="center"/>
    </xf>
    <xf numFmtId="173" fontId="11" fillId="2" borderId="13" xfId="0" applyNumberFormat="1" applyFont="1" applyFill="1" applyBorder="1" applyAlignment="1">
      <alignment horizontal="center" vertical="center"/>
    </xf>
    <xf numFmtId="173" fontId="11" fillId="2" borderId="14" xfId="0" applyNumberFormat="1" applyFont="1" applyFill="1" applyBorder="1" applyAlignment="1">
      <alignment horizontal="center" vertical="center"/>
    </xf>
    <xf numFmtId="173" fontId="11" fillId="2" borderId="15" xfId="0" applyNumberFormat="1" applyFont="1" applyFill="1" applyBorder="1" applyAlignment="1">
      <alignment horizontal="center" vertical="center"/>
    </xf>
    <xf numFmtId="173" fontId="13" fillId="7" borderId="3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1" fontId="13" fillId="3" borderId="14" xfId="0" applyNumberFormat="1" applyFont="1" applyFill="1" applyBorder="1" applyAlignment="1" applyProtection="1">
      <alignment horizontal="center"/>
      <protection locked="0"/>
    </xf>
    <xf numFmtId="1" fontId="13" fillId="3" borderId="15" xfId="0" applyNumberFormat="1" applyFont="1" applyFill="1" applyBorder="1" applyAlignment="1" applyProtection="1">
      <alignment horizontal="center"/>
      <protection locked="0"/>
    </xf>
    <xf numFmtId="0" fontId="11" fillId="2" borderId="13" xfId="0" applyFont="1" applyFill="1" applyBorder="1" applyAlignment="1">
      <alignment horizontal="center"/>
    </xf>
    <xf numFmtId="1" fontId="13" fillId="3" borderId="13" xfId="0" applyNumberFormat="1" applyFont="1" applyFill="1" applyBorder="1" applyAlignment="1" applyProtection="1">
      <alignment horizontal="center"/>
      <protection locked="0"/>
    </xf>
    <xf numFmtId="173" fontId="11" fillId="2" borderId="22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3" fontId="11" fillId="2" borderId="44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4" fontId="13" fillId="7" borderId="52" xfId="0" applyNumberFormat="1" applyFont="1" applyFill="1" applyBorder="1" applyAlignment="1">
      <alignment horizontal="center"/>
    </xf>
    <xf numFmtId="174" fontId="13" fillId="6" borderId="54" xfId="0" applyNumberFormat="1" applyFont="1" applyFill="1" applyBorder="1" applyAlignment="1">
      <alignment horizontal="center"/>
    </xf>
    <xf numFmtId="174" fontId="13" fillId="7" borderId="46" xfId="0" applyNumberFormat="1" applyFont="1" applyFill="1" applyBorder="1" applyAlignment="1">
      <alignment horizontal="center"/>
    </xf>
    <xf numFmtId="175" fontId="20" fillId="2" borderId="0" xfId="0" applyNumberFormat="1" applyFont="1" applyFill="1" applyAlignment="1">
      <alignment horizontal="center"/>
    </xf>
    <xf numFmtId="174" fontId="13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0" fontId="11" fillId="2" borderId="14" xfId="0" applyFont="1" applyFill="1" applyBorder="1" applyAlignment="1">
      <alignment horizont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4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0" fontId="14" fillId="2" borderId="0" xfId="0" applyFont="1" applyFill="1"/>
    <xf numFmtId="10" fontId="13" fillId="6" borderId="54" xfId="0" applyNumberFormat="1" applyFont="1" applyFill="1" applyBorder="1" applyAlignment="1">
      <alignment horizontal="center"/>
    </xf>
    <xf numFmtId="171" fontId="11" fillId="2" borderId="16" xfId="0" applyNumberFormat="1" applyFont="1" applyFill="1" applyBorder="1" applyAlignment="1">
      <alignment horizontal="right"/>
    </xf>
    <xf numFmtId="0" fontId="11" fillId="2" borderId="14" xfId="0" applyFont="1" applyFill="1" applyBorder="1" applyAlignment="1">
      <alignment horizontal="right"/>
    </xf>
    <xf numFmtId="2" fontId="13" fillId="7" borderId="55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13" fillId="7" borderId="28" xfId="0" applyFont="1" applyFill="1" applyBorder="1" applyAlignment="1">
      <alignment horizontal="center"/>
    </xf>
    <xf numFmtId="0" fontId="13" fillId="7" borderId="56" xfId="0" applyFont="1" applyFill="1" applyBorder="1" applyAlignment="1">
      <alignment horizontal="center"/>
    </xf>
    <xf numFmtId="2" fontId="13" fillId="6" borderId="54" xfId="0" applyNumberFormat="1" applyFont="1" applyFill="1" applyBorder="1" applyAlignment="1">
      <alignment horizontal="center"/>
    </xf>
    <xf numFmtId="2" fontId="13" fillId="7" borderId="46" xfId="0" applyNumberFormat="1" applyFont="1" applyFill="1" applyBorder="1" applyAlignment="1">
      <alignment horizontal="center"/>
    </xf>
    <xf numFmtId="166" fontId="11" fillId="2" borderId="43" xfId="0" applyNumberFormat="1" applyFont="1" applyFill="1" applyBorder="1" applyAlignment="1">
      <alignment horizontal="center"/>
    </xf>
    <xf numFmtId="173" fontId="11" fillId="2" borderId="13" xfId="0" applyNumberFormat="1" applyFont="1" applyFill="1" applyBorder="1" applyAlignment="1">
      <alignment horizontal="center" vertical="center"/>
    </xf>
    <xf numFmtId="173" fontId="11" fillId="2" borderId="14" xfId="0" applyNumberFormat="1" applyFont="1" applyFill="1" applyBorder="1" applyAlignment="1">
      <alignment horizontal="center" vertical="center"/>
    </xf>
    <xf numFmtId="173" fontId="11" fillId="2" borderId="15" xfId="0" applyNumberFormat="1" applyFont="1" applyFill="1" applyBorder="1" applyAlignment="1">
      <alignment horizontal="center" vertical="center"/>
    </xf>
    <xf numFmtId="173" fontId="13" fillId="7" borderId="3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1" fontId="13" fillId="3" borderId="14" xfId="0" applyNumberFormat="1" applyFont="1" applyFill="1" applyBorder="1" applyAlignment="1" applyProtection="1">
      <alignment horizontal="center"/>
      <protection locked="0"/>
    </xf>
    <xf numFmtId="1" fontId="13" fillId="3" borderId="15" xfId="0" applyNumberFormat="1" applyFont="1" applyFill="1" applyBorder="1" applyAlignment="1" applyProtection="1">
      <alignment horizontal="center"/>
      <protection locked="0"/>
    </xf>
    <xf numFmtId="0" fontId="11" fillId="2" borderId="13" xfId="0" applyFont="1" applyFill="1" applyBorder="1" applyAlignment="1">
      <alignment horizontal="center"/>
    </xf>
    <xf numFmtId="1" fontId="13" fillId="3" borderId="13" xfId="0" applyNumberFormat="1" applyFont="1" applyFill="1" applyBorder="1" applyAlignment="1" applyProtection="1">
      <alignment horizontal="center"/>
      <protection locked="0"/>
    </xf>
    <xf numFmtId="173" fontId="11" fillId="2" borderId="22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3" fontId="11" fillId="2" borderId="44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4" fontId="13" fillId="7" borderId="52" xfId="0" applyNumberFormat="1" applyFont="1" applyFill="1" applyBorder="1" applyAlignment="1">
      <alignment horizontal="center"/>
    </xf>
    <xf numFmtId="174" fontId="13" fillId="6" borderId="54" xfId="0" applyNumberFormat="1" applyFont="1" applyFill="1" applyBorder="1" applyAlignment="1">
      <alignment horizontal="center"/>
    </xf>
    <xf numFmtId="174" fontId="13" fillId="7" borderId="46" xfId="0" applyNumberFormat="1" applyFont="1" applyFill="1" applyBorder="1" applyAlignment="1">
      <alignment horizontal="center"/>
    </xf>
    <xf numFmtId="175" fontId="20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4" fillId="3" borderId="0" xfId="0" applyFont="1" applyFill="1" applyAlignment="1" applyProtection="1">
      <alignment horizontal="left"/>
      <protection locked="0"/>
    </xf>
    <xf numFmtId="0" fontId="12" fillId="2" borderId="40" xfId="0" applyFont="1" applyFill="1" applyBorder="1" applyAlignment="1">
      <alignment horizontal="center"/>
    </xf>
    <xf numFmtId="174" fontId="13" fillId="2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12" fillId="2" borderId="47" xfId="0" applyFont="1" applyFill="1" applyBorder="1" applyAlignment="1">
      <alignment horizontal="center" vertical="center"/>
    </xf>
    <xf numFmtId="0" fontId="12" fillId="2" borderId="55" xfId="0" applyFont="1" applyFill="1" applyBorder="1" applyAlignment="1">
      <alignment horizontal="center" vertical="center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3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14" fillId="3" borderId="0" xfId="0" applyFont="1" applyFill="1" applyAlignment="1" applyProtection="1">
      <alignment horizontal="left"/>
      <protection locked="0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/>
      <protection locked="0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43" xfId="0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0" fontId="25" fillId="2" borderId="0" xfId="0" applyFont="1" applyFill="1"/>
    <xf numFmtId="0" fontId="26" fillId="2" borderId="0" xfId="0" applyFont="1" applyFill="1" applyAlignment="1">
      <alignment horizontal="left"/>
    </xf>
    <xf numFmtId="0" fontId="27" fillId="2" borderId="0" xfId="0" applyFont="1" applyFill="1" applyAlignment="1" applyProtection="1">
      <alignment horizontal="left"/>
      <protection locked="0"/>
    </xf>
  </cellXfs>
  <cellStyles count="1">
    <cellStyle name="Normal" xfId="0" builtinId="0"/>
  </cellStyles>
  <dxfs count="48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abSelected="1" topLeftCell="A40" workbookViewId="0">
      <selection activeCell="B56" sqref="B56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480" t="s">
        <v>0</v>
      </c>
      <c r="B15" s="480"/>
      <c r="C15" s="480"/>
      <c r="D15" s="480"/>
      <c r="E15" s="480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5</v>
      </c>
      <c r="D17" s="9"/>
      <c r="E17" s="10"/>
    </row>
    <row r="18" spans="1:6" ht="16.5" customHeight="1" x14ac:dyDescent="0.3">
      <c r="A18" s="11" t="s">
        <v>4</v>
      </c>
      <c r="B18" s="531" t="s">
        <v>131</v>
      </c>
      <c r="C18" s="10"/>
      <c r="D18" s="10"/>
      <c r="E18" s="10"/>
    </row>
    <row r="19" spans="1:6" ht="16.5" customHeight="1" x14ac:dyDescent="0.3">
      <c r="A19" s="11" t="s">
        <v>6</v>
      </c>
      <c r="B19" s="12">
        <v>99.39</v>
      </c>
      <c r="C19" s="10"/>
      <c r="D19" s="10"/>
      <c r="E19" s="10"/>
    </row>
    <row r="20" spans="1:6" ht="16.5" customHeight="1" x14ac:dyDescent="0.3">
      <c r="A20" s="7" t="s">
        <v>8</v>
      </c>
      <c r="B20" s="12">
        <v>15.05</v>
      </c>
      <c r="C20" s="10"/>
      <c r="D20" s="10"/>
      <c r="E20" s="10"/>
    </row>
    <row r="21" spans="1:6" ht="16.5" customHeight="1" x14ac:dyDescent="0.3">
      <c r="A21" s="7" t="s">
        <v>10</v>
      </c>
      <c r="B21" s="13">
        <f>B20/50*10/25</f>
        <v>0.12039999999999999</v>
      </c>
      <c r="C21" s="10"/>
      <c r="D21" s="10"/>
      <c r="E21" s="10"/>
    </row>
    <row r="22" spans="1:6" ht="15.75" customHeight="1" x14ac:dyDescent="0.25">
      <c r="A22" s="10"/>
      <c r="B22" s="10"/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 x14ac:dyDescent="0.3">
      <c r="A24" s="17">
        <v>1</v>
      </c>
      <c r="B24" s="18">
        <v>21282958</v>
      </c>
      <c r="C24" s="18">
        <v>5477.6</v>
      </c>
      <c r="D24" s="19">
        <v>1</v>
      </c>
      <c r="E24" s="20">
        <v>4.7</v>
      </c>
    </row>
    <row r="25" spans="1:6" ht="16.5" customHeight="1" x14ac:dyDescent="0.3">
      <c r="A25" s="17">
        <v>2</v>
      </c>
      <c r="B25" s="18">
        <v>21581789</v>
      </c>
      <c r="C25" s="18">
        <v>5426.9</v>
      </c>
      <c r="D25" s="19">
        <v>1</v>
      </c>
      <c r="E25" s="19">
        <v>4.7</v>
      </c>
    </row>
    <row r="26" spans="1:6" ht="16.5" customHeight="1" x14ac:dyDescent="0.3">
      <c r="A26" s="17">
        <v>3</v>
      </c>
      <c r="B26" s="18">
        <v>21566606</v>
      </c>
      <c r="C26" s="18">
        <v>5422.4</v>
      </c>
      <c r="D26" s="19">
        <v>1</v>
      </c>
      <c r="E26" s="19">
        <v>4.7</v>
      </c>
    </row>
    <row r="27" spans="1:6" ht="16.5" customHeight="1" x14ac:dyDescent="0.3">
      <c r="A27" s="17">
        <v>4</v>
      </c>
      <c r="B27" s="18">
        <v>21581964</v>
      </c>
      <c r="C27" s="18">
        <v>5414.6</v>
      </c>
      <c r="D27" s="19">
        <v>1</v>
      </c>
      <c r="E27" s="19">
        <v>4.7</v>
      </c>
    </row>
    <row r="28" spans="1:6" ht="16.5" customHeight="1" x14ac:dyDescent="0.3">
      <c r="A28" s="17">
        <v>5</v>
      </c>
      <c r="B28" s="18">
        <v>21309119</v>
      </c>
      <c r="C28" s="18">
        <v>5472.2</v>
      </c>
      <c r="D28" s="19">
        <v>1</v>
      </c>
      <c r="E28" s="19">
        <v>4.7</v>
      </c>
    </row>
    <row r="29" spans="1:6" ht="16.5" customHeight="1" x14ac:dyDescent="0.3">
      <c r="A29" s="17">
        <v>6</v>
      </c>
      <c r="B29" s="21">
        <v>21397108</v>
      </c>
      <c r="C29" s="21">
        <v>5435.2</v>
      </c>
      <c r="D29" s="22">
        <v>1</v>
      </c>
      <c r="E29" s="22">
        <v>4.7</v>
      </c>
    </row>
    <row r="30" spans="1:6" ht="16.5" customHeight="1" x14ac:dyDescent="0.3">
      <c r="A30" s="23" t="s">
        <v>18</v>
      </c>
      <c r="B30" s="24">
        <f>AVERAGE(B24:B29)</f>
        <v>21453257.333333332</v>
      </c>
      <c r="C30" s="25">
        <f>AVERAGE(C24:C29)</f>
        <v>5441.4833333333336</v>
      </c>
      <c r="D30" s="26">
        <f>AVERAGE(D24:D29)</f>
        <v>1</v>
      </c>
      <c r="E30" s="26">
        <f>AVERAGE(E24:E29)</f>
        <v>4.7</v>
      </c>
    </row>
    <row r="31" spans="1:6" ht="16.5" customHeight="1" x14ac:dyDescent="0.3">
      <c r="A31" s="27" t="s">
        <v>19</v>
      </c>
      <c r="B31" s="28">
        <f>(STDEV(B24:B29)/B30)</f>
        <v>6.5545254127877088E-3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22</v>
      </c>
      <c r="C34" s="38"/>
      <c r="D34" s="38"/>
      <c r="E34" s="39"/>
    </row>
    <row r="35" spans="1:6" ht="16.5" customHeight="1" x14ac:dyDescent="0.3">
      <c r="A35" s="11"/>
      <c r="B35" s="37" t="s">
        <v>140</v>
      </c>
      <c r="C35" s="38"/>
      <c r="D35" s="38"/>
      <c r="E35" s="39"/>
      <c r="F35" s="2"/>
    </row>
    <row r="36" spans="1:6" ht="16.5" customHeight="1" x14ac:dyDescent="0.3">
      <c r="A36" s="11"/>
      <c r="B36" s="40" t="s">
        <v>24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25</v>
      </c>
    </row>
    <row r="39" spans="1:6" ht="16.5" customHeight="1" x14ac:dyDescent="0.3">
      <c r="A39" s="11" t="s">
        <v>4</v>
      </c>
      <c r="B39" s="8" t="s">
        <v>131</v>
      </c>
      <c r="C39" s="10"/>
      <c r="D39" s="10"/>
      <c r="E39" s="10"/>
    </row>
    <row r="40" spans="1:6" ht="16.5" customHeight="1" x14ac:dyDescent="0.3">
      <c r="A40" s="11" t="s">
        <v>6</v>
      </c>
      <c r="B40" s="12">
        <v>99.39</v>
      </c>
      <c r="C40" s="10"/>
      <c r="D40" s="10"/>
      <c r="E40" s="10"/>
    </row>
    <row r="41" spans="1:6" ht="16.5" customHeight="1" x14ac:dyDescent="0.3">
      <c r="A41" s="7" t="s">
        <v>8</v>
      </c>
      <c r="B41" s="12">
        <v>15.05</v>
      </c>
      <c r="C41" s="10"/>
      <c r="D41" s="10"/>
      <c r="E41" s="10"/>
    </row>
    <row r="42" spans="1:6" ht="16.5" customHeight="1" x14ac:dyDescent="0.3">
      <c r="A42" s="7" t="s">
        <v>10</v>
      </c>
      <c r="B42" s="13">
        <f>B41/50</f>
        <v>0.30099999999999999</v>
      </c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18">
        <v>5376000</v>
      </c>
      <c r="C45" s="18">
        <v>3759</v>
      </c>
      <c r="D45" s="19">
        <v>0.84</v>
      </c>
      <c r="E45" s="20">
        <v>5.49</v>
      </c>
    </row>
    <row r="46" spans="1:6" ht="16.5" customHeight="1" x14ac:dyDescent="0.3">
      <c r="A46" s="17">
        <v>2</v>
      </c>
      <c r="B46" s="18">
        <v>5375244</v>
      </c>
      <c r="C46" s="18">
        <v>3690</v>
      </c>
      <c r="D46" s="19">
        <v>0.83</v>
      </c>
      <c r="E46" s="19">
        <v>5.5</v>
      </c>
    </row>
    <row r="47" spans="1:6" ht="16.5" customHeight="1" x14ac:dyDescent="0.3">
      <c r="A47" s="17">
        <v>3</v>
      </c>
      <c r="B47" s="18">
        <v>5396132</v>
      </c>
      <c r="C47" s="18">
        <v>3741</v>
      </c>
      <c r="D47" s="19">
        <v>0.84</v>
      </c>
      <c r="E47" s="19">
        <v>5.49</v>
      </c>
    </row>
    <row r="48" spans="1:6" ht="16.5" customHeight="1" x14ac:dyDescent="0.3">
      <c r="A48" s="17">
        <v>4</v>
      </c>
      <c r="B48" s="18">
        <v>5387490</v>
      </c>
      <c r="C48" s="18">
        <v>3769</v>
      </c>
      <c r="D48" s="19">
        <v>0.84</v>
      </c>
      <c r="E48" s="19">
        <v>5.49</v>
      </c>
    </row>
    <row r="49" spans="1:7" ht="16.5" customHeight="1" x14ac:dyDescent="0.3">
      <c r="A49" s="17">
        <v>5</v>
      </c>
      <c r="B49" s="18">
        <v>5386367</v>
      </c>
      <c r="C49" s="18">
        <v>3677</v>
      </c>
      <c r="D49" s="19">
        <v>0.84</v>
      </c>
      <c r="E49" s="19">
        <v>5.49</v>
      </c>
    </row>
    <row r="50" spans="1:7" ht="16.5" customHeight="1" x14ac:dyDescent="0.3">
      <c r="A50" s="17">
        <v>6</v>
      </c>
      <c r="B50" s="21">
        <v>5369022</v>
      </c>
      <c r="C50" s="21">
        <v>3713</v>
      </c>
      <c r="D50" s="22">
        <v>0.84</v>
      </c>
      <c r="E50" s="22">
        <v>5.49</v>
      </c>
    </row>
    <row r="51" spans="1:7" ht="16.5" customHeight="1" x14ac:dyDescent="0.3">
      <c r="A51" s="23" t="s">
        <v>18</v>
      </c>
      <c r="B51" s="24">
        <f>AVERAGE(B45:B50)</f>
        <v>5381709.166666667</v>
      </c>
      <c r="C51" s="25">
        <f>AVERAGE(C45:C50)</f>
        <v>3724.8333333333335</v>
      </c>
      <c r="D51" s="26">
        <f>AVERAGE(D45:D50)</f>
        <v>0.83833333333333326</v>
      </c>
      <c r="E51" s="26">
        <f>AVERAGE(E45:E50)</f>
        <v>5.4916666666666671</v>
      </c>
    </row>
    <row r="52" spans="1:7" ht="16.5" customHeight="1" x14ac:dyDescent="0.3">
      <c r="A52" s="27" t="s">
        <v>19</v>
      </c>
      <c r="B52" s="28">
        <f>(STDEV(B45:B50)/B51)</f>
        <v>1.8553354598171551E-3</v>
      </c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>
        <f>COUNT(B45:B50)</f>
        <v>6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37" t="s">
        <v>23</v>
      </c>
      <c r="C56" s="38"/>
      <c r="D56" s="38"/>
      <c r="E56" s="39"/>
      <c r="F56" s="2"/>
    </row>
    <row r="57" spans="1:7" ht="16.5" customHeight="1" x14ac:dyDescent="0.3">
      <c r="A57" s="11"/>
      <c r="B57" s="40" t="s">
        <v>24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481" t="s">
        <v>26</v>
      </c>
      <c r="C59" s="481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8"/>
      <c r="C60" s="48"/>
      <c r="E60" s="48"/>
      <c r="F60" s="2"/>
      <c r="G60" s="49"/>
    </row>
    <row r="61" spans="1:7" ht="15" customHeight="1" x14ac:dyDescent="0.3">
      <c r="A61" s="47" t="s">
        <v>30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workbookViewId="0">
      <selection activeCell="A18" sqref="A18"/>
    </sheetView>
  </sheetViews>
  <sheetFormatPr defaultRowHeight="13.5" x14ac:dyDescent="0.25"/>
  <cols>
    <col min="1" max="1" width="27.5703125" style="408" customWidth="1"/>
    <col min="2" max="2" width="20.42578125" style="408" customWidth="1"/>
    <col min="3" max="3" width="31.85546875" style="408" customWidth="1"/>
    <col min="4" max="4" width="25.85546875" style="408" customWidth="1"/>
    <col min="5" max="5" width="25.7109375" style="408" customWidth="1"/>
    <col min="6" max="6" width="23.140625" style="408" customWidth="1"/>
    <col min="7" max="7" width="28.42578125" style="408" customWidth="1"/>
    <col min="8" max="8" width="21.5703125" style="408" customWidth="1"/>
    <col min="9" max="9" width="9.140625" style="408" customWidth="1"/>
    <col min="10" max="16384" width="9.140625" style="44"/>
  </cols>
  <sheetData>
    <row r="14" spans="1:6" ht="15" customHeight="1" x14ac:dyDescent="0.3">
      <c r="A14" s="1"/>
      <c r="C14" s="3"/>
      <c r="F14" s="3"/>
    </row>
    <row r="15" spans="1:6" ht="18.75" customHeight="1" x14ac:dyDescent="0.3">
      <c r="A15" s="480" t="s">
        <v>0</v>
      </c>
      <c r="B15" s="480"/>
      <c r="C15" s="480"/>
      <c r="D15" s="480"/>
      <c r="E15" s="480"/>
    </row>
    <row r="16" spans="1:6" ht="16.5" customHeight="1" x14ac:dyDescent="0.3">
      <c r="A16" s="90" t="s">
        <v>1</v>
      </c>
      <c r="B16" s="59" t="s">
        <v>2</v>
      </c>
    </row>
    <row r="17" spans="1:5" ht="16.5" customHeight="1" x14ac:dyDescent="0.3">
      <c r="A17" s="8" t="s">
        <v>3</v>
      </c>
      <c r="B17" s="8" t="s">
        <v>5</v>
      </c>
      <c r="D17" s="9"/>
      <c r="E17" s="72"/>
    </row>
    <row r="18" spans="1:5" ht="16.5" customHeight="1" x14ac:dyDescent="0.3">
      <c r="A18" s="75" t="s">
        <v>4</v>
      </c>
      <c r="B18" s="531" t="s">
        <v>138</v>
      </c>
      <c r="C18" s="72"/>
      <c r="D18" s="72"/>
      <c r="E18" s="72"/>
    </row>
    <row r="19" spans="1:5" ht="16.5" customHeight="1" x14ac:dyDescent="0.3">
      <c r="A19" s="75" t="s">
        <v>6</v>
      </c>
      <c r="B19" s="12">
        <v>99.54</v>
      </c>
      <c r="C19" s="72"/>
      <c r="D19" s="72"/>
      <c r="E19" s="72"/>
    </row>
    <row r="20" spans="1:5" ht="16.5" customHeight="1" x14ac:dyDescent="0.3">
      <c r="A20" s="8" t="s">
        <v>8</v>
      </c>
      <c r="B20" s="12">
        <v>15.1</v>
      </c>
      <c r="C20" s="72"/>
      <c r="D20" s="72"/>
      <c r="E20" s="72"/>
    </row>
    <row r="21" spans="1:5" ht="16.5" customHeight="1" x14ac:dyDescent="0.3">
      <c r="A21" s="8" t="s">
        <v>10</v>
      </c>
      <c r="B21" s="13">
        <f>B20/50*10/25</f>
        <v>0.1208</v>
      </c>
      <c r="C21" s="72"/>
      <c r="D21" s="72"/>
      <c r="E21" s="72"/>
    </row>
    <row r="22" spans="1:5" ht="15.75" customHeight="1" x14ac:dyDescent="0.25">
      <c r="A22" s="72"/>
      <c r="B22" s="72"/>
      <c r="C22" s="72"/>
      <c r="D22" s="72"/>
      <c r="E22" s="72"/>
    </row>
    <row r="23" spans="1:5" ht="16.5" customHeight="1" x14ac:dyDescent="0.3">
      <c r="A23" s="16" t="s">
        <v>13</v>
      </c>
      <c r="B23" s="15" t="s">
        <v>14</v>
      </c>
      <c r="C23" s="16" t="s">
        <v>15</v>
      </c>
      <c r="D23" s="16" t="s">
        <v>16</v>
      </c>
      <c r="E23" s="16" t="s">
        <v>17</v>
      </c>
    </row>
    <row r="24" spans="1:5" ht="16.5" customHeight="1" x14ac:dyDescent="0.3">
      <c r="A24" s="17">
        <v>1</v>
      </c>
      <c r="B24" s="18">
        <v>9735463</v>
      </c>
      <c r="C24" s="18">
        <v>51208.6</v>
      </c>
      <c r="D24" s="19">
        <v>1.1000000000000001</v>
      </c>
      <c r="E24" s="20">
        <v>16</v>
      </c>
    </row>
    <row r="25" spans="1:5" ht="16.5" customHeight="1" x14ac:dyDescent="0.3">
      <c r="A25" s="17">
        <v>2</v>
      </c>
      <c r="B25" s="18">
        <v>9872917</v>
      </c>
      <c r="C25" s="18">
        <v>50785.1</v>
      </c>
      <c r="D25" s="19">
        <v>1.1000000000000001</v>
      </c>
      <c r="E25" s="19">
        <v>15.9</v>
      </c>
    </row>
    <row r="26" spans="1:5" ht="16.5" customHeight="1" x14ac:dyDescent="0.3">
      <c r="A26" s="17">
        <v>3</v>
      </c>
      <c r="B26" s="18">
        <v>9890885</v>
      </c>
      <c r="C26" s="18">
        <v>50412.6</v>
      </c>
      <c r="D26" s="19">
        <v>1.1000000000000001</v>
      </c>
      <c r="E26" s="19">
        <v>16</v>
      </c>
    </row>
    <row r="27" spans="1:5" ht="16.5" customHeight="1" x14ac:dyDescent="0.3">
      <c r="A27" s="17">
        <v>4</v>
      </c>
      <c r="B27" s="18">
        <v>9875198</v>
      </c>
      <c r="C27" s="18">
        <v>50035.1</v>
      </c>
      <c r="D27" s="19">
        <v>1.1000000000000001</v>
      </c>
      <c r="E27" s="19">
        <v>16</v>
      </c>
    </row>
    <row r="28" spans="1:5" ht="16.5" customHeight="1" x14ac:dyDescent="0.3">
      <c r="A28" s="17">
        <v>5</v>
      </c>
      <c r="B28" s="18">
        <v>9713071</v>
      </c>
      <c r="C28" s="18">
        <v>50034.1</v>
      </c>
      <c r="D28" s="19">
        <v>1.1000000000000001</v>
      </c>
      <c r="E28" s="19">
        <v>15.9</v>
      </c>
    </row>
    <row r="29" spans="1:5" ht="16.5" customHeight="1" x14ac:dyDescent="0.3">
      <c r="A29" s="17">
        <v>6</v>
      </c>
      <c r="B29" s="21">
        <v>9769489</v>
      </c>
      <c r="C29" s="21">
        <v>50283.3</v>
      </c>
      <c r="D29" s="22">
        <v>1.1000000000000001</v>
      </c>
      <c r="E29" s="22">
        <v>16</v>
      </c>
    </row>
    <row r="30" spans="1:5" ht="16.5" customHeight="1" x14ac:dyDescent="0.3">
      <c r="A30" s="23" t="s">
        <v>18</v>
      </c>
      <c r="B30" s="24">
        <f>AVERAGE(B24:B29)</f>
        <v>9809503.833333334</v>
      </c>
      <c r="C30" s="25">
        <f>AVERAGE(C24:C29)</f>
        <v>50459.799999999996</v>
      </c>
      <c r="D30" s="26">
        <f>AVERAGE(D24:D29)</f>
        <v>1.0999999999999999</v>
      </c>
      <c r="E30" s="26">
        <f>AVERAGE(E24:E29)</f>
        <v>15.966666666666667</v>
      </c>
    </row>
    <row r="31" spans="1:5" ht="16.5" customHeight="1" x14ac:dyDescent="0.3">
      <c r="A31" s="27" t="s">
        <v>19</v>
      </c>
      <c r="B31" s="28">
        <f>(STDEV(B24:B29)/B30)</f>
        <v>8.0711213770599862E-3</v>
      </c>
      <c r="C31" s="29"/>
      <c r="D31" s="29"/>
      <c r="E31" s="30"/>
    </row>
    <row r="32" spans="1:5" s="408" customFormat="1" ht="16.5" customHeight="1" x14ac:dyDescent="0.3">
      <c r="A32" s="31" t="s">
        <v>20</v>
      </c>
      <c r="B32" s="32">
        <f>COUNT(B24:B29)</f>
        <v>6</v>
      </c>
      <c r="C32" s="33"/>
      <c r="D32" s="73"/>
      <c r="E32" s="35"/>
    </row>
    <row r="33" spans="1:5" s="408" customFormat="1" ht="15.75" customHeight="1" x14ac:dyDescent="0.25">
      <c r="A33" s="72"/>
      <c r="B33" s="72"/>
      <c r="C33" s="72"/>
      <c r="D33" s="72"/>
      <c r="E33" s="72"/>
    </row>
    <row r="34" spans="1:5" s="408" customFormat="1" ht="16.5" customHeight="1" x14ac:dyDescent="0.3">
      <c r="A34" s="75" t="s">
        <v>21</v>
      </c>
      <c r="B34" s="40" t="s">
        <v>22</v>
      </c>
      <c r="C34" s="39"/>
      <c r="D34" s="39"/>
      <c r="E34" s="39"/>
    </row>
    <row r="35" spans="1:5" ht="16.5" customHeight="1" x14ac:dyDescent="0.3">
      <c r="A35" s="75"/>
      <c r="B35" s="40" t="s">
        <v>140</v>
      </c>
      <c r="C35" s="39"/>
      <c r="D35" s="39"/>
      <c r="E35" s="39"/>
    </row>
    <row r="36" spans="1:5" ht="16.5" customHeight="1" x14ac:dyDescent="0.3">
      <c r="A36" s="75"/>
      <c r="B36" s="40" t="s">
        <v>24</v>
      </c>
      <c r="C36" s="39"/>
      <c r="D36" s="39"/>
      <c r="E36" s="39"/>
    </row>
    <row r="37" spans="1:5" ht="15.75" customHeight="1" x14ac:dyDescent="0.25">
      <c r="A37" s="72"/>
      <c r="B37" s="72"/>
      <c r="C37" s="72"/>
      <c r="D37" s="72"/>
      <c r="E37" s="72"/>
    </row>
    <row r="38" spans="1:5" ht="16.5" customHeight="1" x14ac:dyDescent="0.3">
      <c r="A38" s="90" t="s">
        <v>1</v>
      </c>
      <c r="B38" s="59" t="s">
        <v>25</v>
      </c>
    </row>
    <row r="39" spans="1:5" ht="16.5" customHeight="1" x14ac:dyDescent="0.3">
      <c r="A39" s="75" t="s">
        <v>4</v>
      </c>
      <c r="B39" s="532" t="s">
        <v>138</v>
      </c>
      <c r="C39" s="72"/>
      <c r="D39" s="72"/>
      <c r="E39" s="72"/>
    </row>
    <row r="40" spans="1:5" ht="16.5" customHeight="1" x14ac:dyDescent="0.3">
      <c r="A40" s="75" t="s">
        <v>6</v>
      </c>
      <c r="B40" s="12">
        <v>99.54</v>
      </c>
      <c r="C40" s="72"/>
      <c r="D40" s="72"/>
      <c r="E40" s="72"/>
    </row>
    <row r="41" spans="1:5" ht="16.5" customHeight="1" x14ac:dyDescent="0.3">
      <c r="A41" s="8" t="s">
        <v>8</v>
      </c>
      <c r="B41" s="12">
        <v>14.28</v>
      </c>
      <c r="C41" s="72"/>
      <c r="D41" s="72"/>
      <c r="E41" s="72"/>
    </row>
    <row r="42" spans="1:5" ht="16.5" customHeight="1" x14ac:dyDescent="0.3">
      <c r="A42" s="8" t="s">
        <v>10</v>
      </c>
      <c r="B42" s="13">
        <f>B41/50</f>
        <v>0.28559999999999997</v>
      </c>
      <c r="C42" s="72"/>
      <c r="D42" s="72"/>
      <c r="E42" s="72"/>
    </row>
    <row r="43" spans="1:5" ht="15.75" customHeight="1" x14ac:dyDescent="0.25">
      <c r="A43" s="72"/>
      <c r="B43" s="72"/>
      <c r="C43" s="72"/>
      <c r="D43" s="72"/>
      <c r="E43" s="72"/>
    </row>
    <row r="44" spans="1:5" ht="16.5" customHeight="1" x14ac:dyDescent="0.3">
      <c r="A44" s="16" t="s">
        <v>13</v>
      </c>
      <c r="B44" s="15" t="s">
        <v>14</v>
      </c>
      <c r="C44" s="16" t="s">
        <v>15</v>
      </c>
      <c r="D44" s="16" t="s">
        <v>16</v>
      </c>
      <c r="E44" s="16" t="s">
        <v>17</v>
      </c>
    </row>
    <row r="45" spans="1:5" ht="16.5" customHeight="1" x14ac:dyDescent="0.3">
      <c r="A45" s="17">
        <v>1</v>
      </c>
      <c r="B45" s="18">
        <v>3558430</v>
      </c>
      <c r="C45" s="18">
        <v>142315</v>
      </c>
      <c r="D45" s="19">
        <v>1.1499999999999999</v>
      </c>
      <c r="E45" s="20">
        <v>9.2100000000000009</v>
      </c>
    </row>
    <row r="46" spans="1:5" ht="16.5" customHeight="1" x14ac:dyDescent="0.3">
      <c r="A46" s="17">
        <v>2</v>
      </c>
      <c r="B46" s="18">
        <v>3545957</v>
      </c>
      <c r="C46" s="18">
        <v>142976</v>
      </c>
      <c r="D46" s="19">
        <v>1.07</v>
      </c>
      <c r="E46" s="19">
        <v>9.2100000000000009</v>
      </c>
    </row>
    <row r="47" spans="1:5" ht="16.5" customHeight="1" x14ac:dyDescent="0.3">
      <c r="A47" s="17">
        <v>3</v>
      </c>
      <c r="B47" s="18">
        <v>3559334</v>
      </c>
      <c r="C47" s="18">
        <v>142639</v>
      </c>
      <c r="D47" s="19">
        <v>1.18</v>
      </c>
      <c r="E47" s="19">
        <v>9.2100000000000009</v>
      </c>
    </row>
    <row r="48" spans="1:5" ht="16.5" customHeight="1" x14ac:dyDescent="0.3">
      <c r="A48" s="17">
        <v>4</v>
      </c>
      <c r="B48" s="18">
        <v>3557515</v>
      </c>
      <c r="C48" s="18">
        <v>141145</v>
      </c>
      <c r="D48" s="19">
        <v>1.1399999999999999</v>
      </c>
      <c r="E48" s="19">
        <v>9.2100000000000009</v>
      </c>
    </row>
    <row r="49" spans="1:7" ht="16.5" customHeight="1" x14ac:dyDescent="0.3">
      <c r="A49" s="17">
        <v>5</v>
      </c>
      <c r="B49" s="18">
        <v>3558253</v>
      </c>
      <c r="C49" s="18">
        <v>141842</v>
      </c>
      <c r="D49" s="19">
        <v>1.0900000000000001</v>
      </c>
      <c r="E49" s="19">
        <v>9.2100000000000009</v>
      </c>
    </row>
    <row r="50" spans="1:7" ht="16.5" customHeight="1" x14ac:dyDescent="0.3">
      <c r="A50" s="17">
        <v>6</v>
      </c>
      <c r="B50" s="21">
        <v>3556891</v>
      </c>
      <c r="C50" s="21">
        <v>143006</v>
      </c>
      <c r="D50" s="22">
        <v>1.17</v>
      </c>
      <c r="E50" s="22">
        <v>9.2100000000000009</v>
      </c>
    </row>
    <row r="51" spans="1:7" ht="16.5" customHeight="1" x14ac:dyDescent="0.3">
      <c r="A51" s="23" t="s">
        <v>18</v>
      </c>
      <c r="B51" s="24">
        <f>AVERAGE(B45:B50)</f>
        <v>3556063.3333333335</v>
      </c>
      <c r="C51" s="25">
        <f>AVERAGE(C45:C50)</f>
        <v>142320.5</v>
      </c>
      <c r="D51" s="26">
        <f>AVERAGE(D45:D50)</f>
        <v>1.1333333333333331</v>
      </c>
      <c r="E51" s="26">
        <f>AVERAGE(E45:E50)</f>
        <v>9.2100000000000009</v>
      </c>
    </row>
    <row r="52" spans="1:7" ht="16.5" customHeight="1" x14ac:dyDescent="0.3">
      <c r="A52" s="27" t="s">
        <v>19</v>
      </c>
      <c r="B52" s="28">
        <f>(STDEV(B45:B50)/B51)</f>
        <v>1.4117930072071925E-3</v>
      </c>
      <c r="C52" s="29"/>
      <c r="D52" s="29"/>
      <c r="E52" s="30"/>
    </row>
    <row r="53" spans="1:7" s="408" customFormat="1" ht="16.5" customHeight="1" x14ac:dyDescent="0.3">
      <c r="A53" s="31" t="s">
        <v>20</v>
      </c>
      <c r="B53" s="32">
        <f>COUNT(B45:B50)</f>
        <v>6</v>
      </c>
      <c r="C53" s="33"/>
      <c r="D53" s="73"/>
      <c r="E53" s="35"/>
    </row>
    <row r="54" spans="1:7" s="408" customFormat="1" ht="15.75" customHeight="1" x14ac:dyDescent="0.25">
      <c r="A54" s="72"/>
      <c r="B54" s="72"/>
      <c r="C54" s="72"/>
      <c r="D54" s="72"/>
      <c r="E54" s="72"/>
    </row>
    <row r="55" spans="1:7" s="408" customFormat="1" ht="16.5" customHeight="1" x14ac:dyDescent="0.3">
      <c r="A55" s="75" t="s">
        <v>21</v>
      </c>
      <c r="B55" s="40" t="s">
        <v>22</v>
      </c>
      <c r="C55" s="39"/>
      <c r="D55" s="39"/>
      <c r="E55" s="39"/>
    </row>
    <row r="56" spans="1:7" ht="16.5" customHeight="1" x14ac:dyDescent="0.3">
      <c r="A56" s="75"/>
      <c r="B56" s="40" t="s">
        <v>141</v>
      </c>
      <c r="C56" s="39"/>
      <c r="D56" s="39"/>
      <c r="E56" s="39"/>
    </row>
    <row r="57" spans="1:7" ht="16.5" customHeight="1" x14ac:dyDescent="0.3">
      <c r="A57" s="75"/>
      <c r="B57" s="40" t="s">
        <v>24</v>
      </c>
      <c r="C57" s="39"/>
      <c r="D57" s="39"/>
      <c r="E57" s="39"/>
    </row>
    <row r="58" spans="1:7" ht="14.25" customHeight="1" thickBot="1" x14ac:dyDescent="0.3">
      <c r="A58" s="41"/>
      <c r="B58" s="338"/>
      <c r="D58" s="43"/>
      <c r="F58" s="44"/>
      <c r="G58" s="44"/>
    </row>
    <row r="59" spans="1:7" ht="15" customHeight="1" x14ac:dyDescent="0.3">
      <c r="B59" s="481" t="s">
        <v>26</v>
      </c>
      <c r="C59" s="481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9"/>
      <c r="C60" s="49"/>
      <c r="E60" s="49"/>
      <c r="G60" s="49"/>
    </row>
    <row r="61" spans="1:7" ht="15" customHeight="1" x14ac:dyDescent="0.3">
      <c r="A61" s="47" t="s">
        <v>30</v>
      </c>
      <c r="B61" s="50"/>
      <c r="C61" s="50"/>
      <c r="E61" s="50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workbookViewId="0">
      <selection activeCell="B20" sqref="B20"/>
    </sheetView>
  </sheetViews>
  <sheetFormatPr defaultRowHeight="13.5" x14ac:dyDescent="0.25"/>
  <cols>
    <col min="1" max="1" width="27.5703125" style="408" customWidth="1"/>
    <col min="2" max="2" width="20.42578125" style="408" customWidth="1"/>
    <col min="3" max="3" width="31.85546875" style="408" customWidth="1"/>
    <col min="4" max="4" width="25.85546875" style="408" customWidth="1"/>
    <col min="5" max="5" width="25.7109375" style="408" customWidth="1"/>
    <col min="6" max="6" width="23.140625" style="408" customWidth="1"/>
    <col min="7" max="7" width="28.42578125" style="408" customWidth="1"/>
    <col min="8" max="8" width="21.5703125" style="408" customWidth="1"/>
    <col min="9" max="9" width="9.140625" style="408" customWidth="1"/>
    <col min="10" max="16384" width="9.140625" style="44"/>
  </cols>
  <sheetData>
    <row r="14" spans="1:6" ht="15" customHeight="1" x14ac:dyDescent="0.3">
      <c r="A14" s="1"/>
      <c r="C14" s="3"/>
      <c r="F14" s="3"/>
    </row>
    <row r="15" spans="1:6" ht="18.75" customHeight="1" x14ac:dyDescent="0.3">
      <c r="A15" s="480" t="s">
        <v>0</v>
      </c>
      <c r="B15" s="480"/>
      <c r="C15" s="480"/>
      <c r="D15" s="480"/>
      <c r="E15" s="480"/>
    </row>
    <row r="16" spans="1:6" ht="16.5" customHeight="1" x14ac:dyDescent="0.3">
      <c r="A16" s="90" t="s">
        <v>1</v>
      </c>
      <c r="B16" s="59" t="s">
        <v>2</v>
      </c>
    </row>
    <row r="17" spans="1:5" ht="16.5" customHeight="1" x14ac:dyDescent="0.3">
      <c r="A17" s="8" t="s">
        <v>3</v>
      </c>
      <c r="B17" s="8" t="s">
        <v>5</v>
      </c>
      <c r="D17" s="9"/>
      <c r="E17" s="72"/>
    </row>
    <row r="18" spans="1:5" ht="16.5" customHeight="1" x14ac:dyDescent="0.3">
      <c r="A18" s="75" t="s">
        <v>4</v>
      </c>
      <c r="B18" s="531" t="s">
        <v>139</v>
      </c>
      <c r="C18" s="72"/>
      <c r="D18" s="72"/>
      <c r="E18" s="72"/>
    </row>
    <row r="19" spans="1:5" ht="16.5" customHeight="1" x14ac:dyDescent="0.3">
      <c r="A19" s="75" t="s">
        <v>6</v>
      </c>
      <c r="B19" s="12">
        <v>97.21</v>
      </c>
      <c r="C19" s="72"/>
      <c r="D19" s="72"/>
      <c r="E19" s="72"/>
    </row>
    <row r="20" spans="1:5" ht="16.5" customHeight="1" x14ac:dyDescent="0.3">
      <c r="A20" s="8" t="s">
        <v>8</v>
      </c>
      <c r="B20" s="12">
        <v>30.46</v>
      </c>
      <c r="C20" s="72"/>
      <c r="D20" s="72"/>
      <c r="E20" s="72"/>
    </row>
    <row r="21" spans="1:5" ht="16.5" customHeight="1" x14ac:dyDescent="0.3">
      <c r="A21" s="8" t="s">
        <v>10</v>
      </c>
      <c r="B21" s="13">
        <f>B20/50*10/25</f>
        <v>0.24367999999999998</v>
      </c>
      <c r="C21" s="72"/>
      <c r="D21" s="72"/>
      <c r="E21" s="72"/>
    </row>
    <row r="22" spans="1:5" ht="15.75" customHeight="1" x14ac:dyDescent="0.25">
      <c r="A22" s="72"/>
      <c r="B22" s="72"/>
      <c r="C22" s="72"/>
      <c r="D22" s="72"/>
      <c r="E22" s="72"/>
    </row>
    <row r="23" spans="1:5" ht="16.5" customHeight="1" x14ac:dyDescent="0.3">
      <c r="A23" s="16" t="s">
        <v>13</v>
      </c>
      <c r="B23" s="15" t="s">
        <v>14</v>
      </c>
      <c r="C23" s="16" t="s">
        <v>15</v>
      </c>
      <c r="D23" s="16" t="s">
        <v>16</v>
      </c>
      <c r="E23" s="16" t="s">
        <v>17</v>
      </c>
    </row>
    <row r="24" spans="1:5" ht="16.5" customHeight="1" x14ac:dyDescent="0.3">
      <c r="A24" s="17">
        <v>1</v>
      </c>
      <c r="B24" s="18">
        <v>4114678</v>
      </c>
      <c r="C24" s="18">
        <v>621775.19999999995</v>
      </c>
      <c r="D24" s="19">
        <v>1</v>
      </c>
      <c r="E24" s="20">
        <v>25.3</v>
      </c>
    </row>
    <row r="25" spans="1:5" ht="16.5" customHeight="1" x14ac:dyDescent="0.3">
      <c r="A25" s="17">
        <v>2</v>
      </c>
      <c r="B25" s="18">
        <v>4172272</v>
      </c>
      <c r="C25" s="18">
        <v>617594.80000000005</v>
      </c>
      <c r="D25" s="19">
        <v>1.1000000000000001</v>
      </c>
      <c r="E25" s="19">
        <v>25.3</v>
      </c>
    </row>
    <row r="26" spans="1:5" ht="16.5" customHeight="1" x14ac:dyDescent="0.3">
      <c r="A26" s="17">
        <v>3</v>
      </c>
      <c r="B26" s="18">
        <v>4166317</v>
      </c>
      <c r="C26" s="18">
        <v>617792.80000000005</v>
      </c>
      <c r="D26" s="19">
        <v>1.1000000000000001</v>
      </c>
      <c r="E26" s="19">
        <v>25.3</v>
      </c>
    </row>
    <row r="27" spans="1:5" ht="16.5" customHeight="1" x14ac:dyDescent="0.3">
      <c r="A27" s="17">
        <v>4</v>
      </c>
      <c r="B27" s="18">
        <v>4163854</v>
      </c>
      <c r="C27" s="18">
        <v>615065.30000000005</v>
      </c>
      <c r="D27" s="19">
        <v>1.1000000000000001</v>
      </c>
      <c r="E27" s="19">
        <v>25.3</v>
      </c>
    </row>
    <row r="28" spans="1:5" ht="16.5" customHeight="1" x14ac:dyDescent="0.3">
      <c r="A28" s="17">
        <v>5</v>
      </c>
      <c r="B28" s="18">
        <v>4108560</v>
      </c>
      <c r="C28" s="18">
        <v>615958.6</v>
      </c>
      <c r="D28" s="19">
        <v>1.1000000000000001</v>
      </c>
      <c r="E28" s="19">
        <v>25.3</v>
      </c>
    </row>
    <row r="29" spans="1:5" ht="16.5" customHeight="1" x14ac:dyDescent="0.3">
      <c r="A29" s="17">
        <v>6</v>
      </c>
      <c r="B29" s="21">
        <v>4119507</v>
      </c>
      <c r="C29" s="21">
        <v>615395.1</v>
      </c>
      <c r="D29" s="22">
        <v>1.1000000000000001</v>
      </c>
      <c r="E29" s="22">
        <v>25.3</v>
      </c>
    </row>
    <row r="30" spans="1:5" ht="16.5" customHeight="1" x14ac:dyDescent="0.3">
      <c r="A30" s="23" t="s">
        <v>18</v>
      </c>
      <c r="B30" s="24">
        <f>AVERAGE(B24:B29)</f>
        <v>4140864.6666666665</v>
      </c>
      <c r="C30" s="25">
        <f>AVERAGE(C24:C29)</f>
        <v>617263.63333333342</v>
      </c>
      <c r="D30" s="26">
        <f>AVERAGE(D24:D29)</f>
        <v>1.0833333333333333</v>
      </c>
      <c r="E30" s="26">
        <f>AVERAGE(E24:E29)</f>
        <v>25.3</v>
      </c>
    </row>
    <row r="31" spans="1:5" ht="16.5" customHeight="1" x14ac:dyDescent="0.3">
      <c r="A31" s="27" t="s">
        <v>19</v>
      </c>
      <c r="B31" s="28">
        <f>(STDEV(B24:B29)/B30)</f>
        <v>7.1216467229197802E-3</v>
      </c>
      <c r="C31" s="29"/>
      <c r="D31" s="29"/>
      <c r="E31" s="30"/>
    </row>
    <row r="32" spans="1:5" s="408" customFormat="1" ht="16.5" customHeight="1" x14ac:dyDescent="0.3">
      <c r="A32" s="31" t="s">
        <v>20</v>
      </c>
      <c r="B32" s="32">
        <f>COUNT(B24:B29)</f>
        <v>6</v>
      </c>
      <c r="C32" s="33"/>
      <c r="D32" s="73"/>
      <c r="E32" s="35"/>
    </row>
    <row r="33" spans="1:5" s="408" customFormat="1" ht="15.75" customHeight="1" x14ac:dyDescent="0.25">
      <c r="A33" s="72"/>
      <c r="B33" s="72"/>
      <c r="C33" s="72"/>
      <c r="D33" s="72"/>
      <c r="E33" s="72"/>
    </row>
    <row r="34" spans="1:5" s="408" customFormat="1" ht="16.5" customHeight="1" x14ac:dyDescent="0.3">
      <c r="A34" s="75" t="s">
        <v>21</v>
      </c>
      <c r="B34" s="40" t="s">
        <v>22</v>
      </c>
      <c r="C34" s="39"/>
      <c r="D34" s="39"/>
      <c r="E34" s="39"/>
    </row>
    <row r="35" spans="1:5" ht="16.5" customHeight="1" x14ac:dyDescent="0.3">
      <c r="A35" s="75"/>
      <c r="B35" s="533" t="s">
        <v>140</v>
      </c>
      <c r="C35" s="39"/>
      <c r="D35" s="39"/>
      <c r="E35" s="39"/>
    </row>
    <row r="36" spans="1:5" ht="16.5" customHeight="1" x14ac:dyDescent="0.3">
      <c r="A36" s="75"/>
      <c r="B36" s="40" t="s">
        <v>24</v>
      </c>
      <c r="C36" s="39"/>
      <c r="D36" s="39"/>
      <c r="E36" s="39"/>
    </row>
    <row r="37" spans="1:5" ht="15.75" customHeight="1" x14ac:dyDescent="0.25">
      <c r="A37" s="72"/>
      <c r="B37" s="72"/>
      <c r="C37" s="72"/>
      <c r="D37" s="72"/>
      <c r="E37" s="72"/>
    </row>
    <row r="38" spans="1:5" ht="16.5" customHeight="1" x14ac:dyDescent="0.3">
      <c r="A38" s="90" t="s">
        <v>1</v>
      </c>
      <c r="B38" s="59" t="s">
        <v>25</v>
      </c>
    </row>
    <row r="39" spans="1:5" ht="16.5" customHeight="1" x14ac:dyDescent="0.3">
      <c r="A39" s="75" t="s">
        <v>4</v>
      </c>
      <c r="B39" s="8" t="s">
        <v>139</v>
      </c>
      <c r="C39" s="72"/>
      <c r="D39" s="72"/>
      <c r="E39" s="72"/>
    </row>
    <row r="40" spans="1:5" ht="16.5" customHeight="1" x14ac:dyDescent="0.3">
      <c r="A40" s="75" t="s">
        <v>6</v>
      </c>
      <c r="B40" s="12">
        <v>97.21</v>
      </c>
      <c r="C40" s="72"/>
      <c r="D40" s="72"/>
      <c r="E40" s="72"/>
    </row>
    <row r="41" spans="1:5" ht="16.5" customHeight="1" x14ac:dyDescent="0.3">
      <c r="A41" s="8" t="s">
        <v>8</v>
      </c>
      <c r="B41" s="12">
        <v>32.21</v>
      </c>
      <c r="C41" s="72"/>
      <c r="D41" s="72"/>
      <c r="E41" s="72"/>
    </row>
    <row r="42" spans="1:5" ht="16.5" customHeight="1" x14ac:dyDescent="0.3">
      <c r="A42" s="8" t="s">
        <v>10</v>
      </c>
      <c r="B42" s="13">
        <f>B41/50</f>
        <v>0.64419999999999999</v>
      </c>
      <c r="C42" s="72"/>
      <c r="D42" s="72"/>
      <c r="E42" s="72"/>
    </row>
    <row r="43" spans="1:5" ht="15.75" customHeight="1" x14ac:dyDescent="0.25">
      <c r="A43" s="72"/>
      <c r="B43" s="72"/>
      <c r="C43" s="72"/>
      <c r="D43" s="72"/>
      <c r="E43" s="72"/>
    </row>
    <row r="44" spans="1:5" ht="16.5" customHeight="1" x14ac:dyDescent="0.3">
      <c r="A44" s="16" t="s">
        <v>13</v>
      </c>
      <c r="B44" s="15" t="s">
        <v>14</v>
      </c>
      <c r="C44" s="16" t="s">
        <v>15</v>
      </c>
      <c r="D44" s="16" t="s">
        <v>16</v>
      </c>
      <c r="E44" s="16" t="s">
        <v>17</v>
      </c>
    </row>
    <row r="45" spans="1:5" ht="16.5" customHeight="1" x14ac:dyDescent="0.3">
      <c r="A45" s="17">
        <v>1</v>
      </c>
      <c r="B45" s="18">
        <v>2414402</v>
      </c>
      <c r="C45" s="18">
        <v>214303</v>
      </c>
      <c r="D45" s="19">
        <v>1.19</v>
      </c>
      <c r="E45" s="20">
        <v>10.16</v>
      </c>
    </row>
    <row r="46" spans="1:5" ht="16.5" customHeight="1" x14ac:dyDescent="0.3">
      <c r="A46" s="17">
        <v>2</v>
      </c>
      <c r="B46" s="18">
        <v>2413520</v>
      </c>
      <c r="C46" s="18">
        <v>213580</v>
      </c>
      <c r="D46" s="19">
        <v>1.1499999999999999</v>
      </c>
      <c r="E46" s="19">
        <v>10.16</v>
      </c>
    </row>
    <row r="47" spans="1:5" ht="16.5" customHeight="1" x14ac:dyDescent="0.3">
      <c r="A47" s="17">
        <v>3</v>
      </c>
      <c r="B47" s="18">
        <v>2413561</v>
      </c>
      <c r="C47" s="18">
        <v>214783</v>
      </c>
      <c r="D47" s="19">
        <v>1.08</v>
      </c>
      <c r="E47" s="19">
        <v>10.17</v>
      </c>
    </row>
    <row r="48" spans="1:5" ht="16.5" customHeight="1" x14ac:dyDescent="0.3">
      <c r="A48" s="17">
        <v>4</v>
      </c>
      <c r="B48" s="18">
        <v>2412244</v>
      </c>
      <c r="C48" s="18">
        <v>214958</v>
      </c>
      <c r="D48" s="19">
        <v>1.08</v>
      </c>
      <c r="E48" s="19">
        <v>10.17</v>
      </c>
    </row>
    <row r="49" spans="1:7" ht="16.5" customHeight="1" x14ac:dyDescent="0.3">
      <c r="A49" s="17">
        <v>5</v>
      </c>
      <c r="B49" s="18">
        <v>2416677</v>
      </c>
      <c r="C49" s="18">
        <v>213718</v>
      </c>
      <c r="D49" s="19">
        <v>1.1499999999999999</v>
      </c>
      <c r="E49" s="19">
        <v>10.16</v>
      </c>
    </row>
    <row r="50" spans="1:7" ht="16.5" customHeight="1" x14ac:dyDescent="0.3">
      <c r="A50" s="17">
        <v>6</v>
      </c>
      <c r="B50" s="21">
        <v>2411902</v>
      </c>
      <c r="C50" s="21">
        <v>215325</v>
      </c>
      <c r="D50" s="22">
        <v>1.21</v>
      </c>
      <c r="E50" s="22">
        <v>10.16</v>
      </c>
    </row>
    <row r="51" spans="1:7" ht="16.5" customHeight="1" x14ac:dyDescent="0.3">
      <c r="A51" s="23" t="s">
        <v>18</v>
      </c>
      <c r="B51" s="24">
        <f>AVERAGE(B45:B50)</f>
        <v>2413717.6666666665</v>
      </c>
      <c r="C51" s="25">
        <f>AVERAGE(C45:C50)</f>
        <v>214444.5</v>
      </c>
      <c r="D51" s="26">
        <f>AVERAGE(D45:D50)</f>
        <v>1.1433333333333333</v>
      </c>
      <c r="E51" s="26">
        <f>AVERAGE(E45:E50)</f>
        <v>10.163333333333334</v>
      </c>
    </row>
    <row r="52" spans="1:7" ht="16.5" customHeight="1" x14ac:dyDescent="0.3">
      <c r="A52" s="27" t="s">
        <v>19</v>
      </c>
      <c r="B52" s="28">
        <f>(STDEV(B45:B50)/B51)</f>
        <v>7.1177236816515174E-4</v>
      </c>
      <c r="C52" s="29"/>
      <c r="D52" s="29"/>
      <c r="E52" s="30"/>
    </row>
    <row r="53" spans="1:7" s="408" customFormat="1" ht="16.5" customHeight="1" x14ac:dyDescent="0.3">
      <c r="A53" s="31" t="s">
        <v>20</v>
      </c>
      <c r="B53" s="32">
        <f>COUNT(B45:B50)</f>
        <v>6</v>
      </c>
      <c r="C53" s="33"/>
      <c r="D53" s="73"/>
      <c r="E53" s="35"/>
    </row>
    <row r="54" spans="1:7" s="408" customFormat="1" ht="15.75" customHeight="1" x14ac:dyDescent="0.25">
      <c r="A54" s="72"/>
      <c r="B54" s="72"/>
      <c r="C54" s="72"/>
      <c r="D54" s="72"/>
      <c r="E54" s="72"/>
    </row>
    <row r="55" spans="1:7" s="408" customFormat="1" ht="16.5" customHeight="1" x14ac:dyDescent="0.3">
      <c r="A55" s="75" t="s">
        <v>21</v>
      </c>
      <c r="B55" s="40" t="s">
        <v>22</v>
      </c>
      <c r="C55" s="39"/>
      <c r="D55" s="39"/>
      <c r="E55" s="39"/>
    </row>
    <row r="56" spans="1:7" ht="16.5" customHeight="1" x14ac:dyDescent="0.3">
      <c r="A56" s="75"/>
      <c r="B56" s="40" t="s">
        <v>23</v>
      </c>
      <c r="C56" s="39"/>
      <c r="D56" s="39"/>
      <c r="E56" s="39"/>
    </row>
    <row r="57" spans="1:7" ht="16.5" customHeight="1" x14ac:dyDescent="0.3">
      <c r="A57" s="75"/>
      <c r="B57" s="40" t="s">
        <v>24</v>
      </c>
      <c r="C57" s="39"/>
      <c r="D57" s="39"/>
      <c r="E57" s="39"/>
    </row>
    <row r="58" spans="1:7" ht="14.25" customHeight="1" thickBot="1" x14ac:dyDescent="0.3">
      <c r="A58" s="41"/>
      <c r="B58" s="338"/>
      <c r="D58" s="43"/>
      <c r="F58" s="44"/>
      <c r="G58" s="44"/>
    </row>
    <row r="59" spans="1:7" ht="15" customHeight="1" x14ac:dyDescent="0.3">
      <c r="B59" s="481" t="s">
        <v>26</v>
      </c>
      <c r="C59" s="481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9"/>
      <c r="C60" s="49"/>
      <c r="E60" s="49"/>
      <c r="G60" s="49"/>
    </row>
    <row r="61" spans="1:7" ht="15" customHeight="1" x14ac:dyDescent="0.3">
      <c r="A61" s="47" t="s">
        <v>30</v>
      </c>
      <c r="B61" s="50"/>
      <c r="C61" s="50"/>
      <c r="E61" s="50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45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0:H54"/>
  <sheetViews>
    <sheetView view="pageBreakPreview" workbookViewId="0">
      <selection activeCell="C15" sqref="C15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485" t="s">
        <v>31</v>
      </c>
      <c r="B11" s="486"/>
      <c r="C11" s="486"/>
      <c r="D11" s="486"/>
      <c r="E11" s="486"/>
      <c r="F11" s="487"/>
      <c r="G11" s="91"/>
    </row>
    <row r="12" spans="1:7" ht="16.5" customHeight="1" x14ac:dyDescent="0.3">
      <c r="A12" s="484" t="s">
        <v>32</v>
      </c>
      <c r="B12" s="484"/>
      <c r="C12" s="484"/>
      <c r="D12" s="484"/>
      <c r="E12" s="484"/>
      <c r="F12" s="484"/>
      <c r="G12" s="90"/>
    </row>
    <row r="14" spans="1:7" ht="16.5" customHeight="1" x14ac:dyDescent="0.3">
      <c r="A14" s="489" t="s">
        <v>33</v>
      </c>
      <c r="B14" s="489"/>
      <c r="C14" s="60" t="s">
        <v>5</v>
      </c>
    </row>
    <row r="15" spans="1:7" ht="16.5" customHeight="1" x14ac:dyDescent="0.3">
      <c r="A15" s="489" t="s">
        <v>34</v>
      </c>
      <c r="B15" s="489"/>
      <c r="C15" s="60" t="s">
        <v>7</v>
      </c>
    </row>
    <row r="16" spans="1:7" ht="16.5" customHeight="1" x14ac:dyDescent="0.3">
      <c r="A16" s="489" t="s">
        <v>35</v>
      </c>
      <c r="B16" s="489"/>
      <c r="C16" s="60" t="s">
        <v>9</v>
      </c>
    </row>
    <row r="17" spans="1:5" ht="16.5" customHeight="1" x14ac:dyDescent="0.3">
      <c r="A17" s="489" t="s">
        <v>36</v>
      </c>
      <c r="B17" s="489"/>
      <c r="C17" s="60" t="s">
        <v>11</v>
      </c>
    </row>
    <row r="18" spans="1:5" ht="16.5" customHeight="1" x14ac:dyDescent="0.3">
      <c r="A18" s="489" t="s">
        <v>37</v>
      </c>
      <c r="B18" s="489"/>
      <c r="C18" s="97" t="s">
        <v>12</v>
      </c>
    </row>
    <row r="19" spans="1:5" ht="16.5" customHeight="1" x14ac:dyDescent="0.3">
      <c r="A19" s="489" t="s">
        <v>38</v>
      </c>
      <c r="B19" s="489"/>
      <c r="C19" s="97" t="e">
        <f>#REF!</f>
        <v>#REF!</v>
      </c>
    </row>
    <row r="20" spans="1:5" ht="16.5" customHeight="1" x14ac:dyDescent="0.3">
      <c r="A20" s="62"/>
      <c r="B20" s="62"/>
      <c r="C20" s="77"/>
    </row>
    <row r="21" spans="1:5" ht="16.5" customHeight="1" x14ac:dyDescent="0.3">
      <c r="A21" s="484" t="s">
        <v>1</v>
      </c>
      <c r="B21" s="484"/>
      <c r="C21" s="59" t="s">
        <v>39</v>
      </c>
      <c r="D21" s="66"/>
    </row>
    <row r="22" spans="1:5" ht="15.75" customHeight="1" x14ac:dyDescent="0.3">
      <c r="A22" s="488"/>
      <c r="B22" s="488"/>
      <c r="C22" s="57"/>
      <c r="D22" s="488"/>
      <c r="E22" s="488"/>
    </row>
    <row r="23" spans="1:5" ht="33.75" customHeight="1" x14ac:dyDescent="0.3">
      <c r="C23" s="86" t="s">
        <v>40</v>
      </c>
      <c r="D23" s="85" t="s">
        <v>41</v>
      </c>
      <c r="E23" s="52"/>
    </row>
    <row r="24" spans="1:5" ht="15.75" customHeight="1" x14ac:dyDescent="0.3">
      <c r="C24" s="95">
        <v>1717.62</v>
      </c>
      <c r="D24" s="87">
        <f t="shared" ref="D24:D43" si="0">(C24-$C$46)/$C$46</f>
        <v>9.2976528015765612E-4</v>
      </c>
      <c r="E24" s="53"/>
    </row>
    <row r="25" spans="1:5" ht="15.75" customHeight="1" x14ac:dyDescent="0.3">
      <c r="C25" s="95">
        <v>1716.01</v>
      </c>
      <c r="D25" s="88">
        <f t="shared" si="0"/>
        <v>-8.4497628093294603E-6</v>
      </c>
      <c r="E25" s="53"/>
    </row>
    <row r="26" spans="1:5" ht="15.75" customHeight="1" x14ac:dyDescent="0.3">
      <c r="C26" s="95">
        <v>1718.44</v>
      </c>
      <c r="D26" s="88">
        <f t="shared" si="0"/>
        <v>1.4076139355819603E-3</v>
      </c>
      <c r="E26" s="53"/>
    </row>
    <row r="27" spans="1:5" ht="15.75" customHeight="1" x14ac:dyDescent="0.3">
      <c r="C27" s="95">
        <v>1708.37</v>
      </c>
      <c r="D27" s="88">
        <f t="shared" si="0"/>
        <v>-4.4606006499325031E-3</v>
      </c>
      <c r="E27" s="53"/>
    </row>
    <row r="28" spans="1:5" ht="15.75" customHeight="1" x14ac:dyDescent="0.3">
      <c r="C28" s="95">
        <v>1718.47</v>
      </c>
      <c r="D28" s="88">
        <f t="shared" si="0"/>
        <v>1.4250962034633179E-3</v>
      </c>
      <c r="E28" s="53"/>
    </row>
    <row r="29" spans="1:5" ht="15.75" customHeight="1" x14ac:dyDescent="0.3">
      <c r="C29" s="95">
        <v>1715.23</v>
      </c>
      <c r="D29" s="88">
        <f t="shared" si="0"/>
        <v>-4.6298872772502429E-4</v>
      </c>
      <c r="E29" s="53"/>
    </row>
    <row r="30" spans="1:5" ht="15.75" customHeight="1" x14ac:dyDescent="0.3">
      <c r="C30" s="95">
        <v>1727.85</v>
      </c>
      <c r="D30" s="88">
        <f t="shared" si="0"/>
        <v>6.8912186277060262E-3</v>
      </c>
      <c r="E30" s="53"/>
    </row>
    <row r="31" spans="1:5" ht="15.75" customHeight="1" x14ac:dyDescent="0.3">
      <c r="C31" s="95">
        <v>1704.38</v>
      </c>
      <c r="D31" s="88">
        <f t="shared" si="0"/>
        <v>-6.7857422781550493E-3</v>
      </c>
      <c r="E31" s="53"/>
    </row>
    <row r="32" spans="1:5" ht="15.75" customHeight="1" x14ac:dyDescent="0.3">
      <c r="C32" s="95">
        <v>1727.79</v>
      </c>
      <c r="D32" s="88">
        <f t="shared" si="0"/>
        <v>6.8562540919433115E-3</v>
      </c>
      <c r="E32" s="53"/>
    </row>
    <row r="33" spans="1:7" ht="15.75" customHeight="1" x14ac:dyDescent="0.3">
      <c r="C33" s="95">
        <v>1729.01</v>
      </c>
      <c r="D33" s="88">
        <f t="shared" si="0"/>
        <v>7.5671996524525158E-3</v>
      </c>
      <c r="E33" s="53"/>
    </row>
    <row r="34" spans="1:7" ht="15.75" customHeight="1" x14ac:dyDescent="0.3">
      <c r="C34" s="95">
        <v>1713.86</v>
      </c>
      <c r="D34" s="88">
        <f t="shared" si="0"/>
        <v>-1.2613456276411492E-3</v>
      </c>
      <c r="E34" s="53"/>
    </row>
    <row r="35" spans="1:7" ht="15.75" customHeight="1" x14ac:dyDescent="0.3">
      <c r="C35" s="95">
        <v>1710.55</v>
      </c>
      <c r="D35" s="88">
        <f t="shared" si="0"/>
        <v>-3.1902225172193255E-3</v>
      </c>
      <c r="E35" s="53"/>
    </row>
    <row r="36" spans="1:7" ht="15.75" customHeight="1" x14ac:dyDescent="0.3">
      <c r="C36" s="95">
        <v>1720.89</v>
      </c>
      <c r="D36" s="88">
        <f t="shared" si="0"/>
        <v>2.8353324792274883E-3</v>
      </c>
      <c r="E36" s="53"/>
    </row>
    <row r="37" spans="1:7" ht="15.75" customHeight="1" x14ac:dyDescent="0.3">
      <c r="C37" s="95">
        <v>1724.37</v>
      </c>
      <c r="D37" s="88">
        <f t="shared" si="0"/>
        <v>4.8632755534666911E-3</v>
      </c>
      <c r="E37" s="53"/>
    </row>
    <row r="38" spans="1:7" ht="15.75" customHeight="1" x14ac:dyDescent="0.3">
      <c r="C38" s="95">
        <v>1698.97</v>
      </c>
      <c r="D38" s="88">
        <f t="shared" si="0"/>
        <v>-9.9383779194294492E-3</v>
      </c>
      <c r="E38" s="53"/>
    </row>
    <row r="39" spans="1:7" ht="15.75" customHeight="1" x14ac:dyDescent="0.3">
      <c r="C39" s="95">
        <v>1722.97</v>
      </c>
      <c r="D39" s="88">
        <f t="shared" si="0"/>
        <v>4.0474363856693408E-3</v>
      </c>
      <c r="E39" s="53"/>
    </row>
    <row r="40" spans="1:7" ht="15.75" customHeight="1" x14ac:dyDescent="0.3">
      <c r="C40" s="95">
        <v>1716.21</v>
      </c>
      <c r="D40" s="88">
        <f t="shared" si="0"/>
        <v>1.0809868973318697E-4</v>
      </c>
      <c r="E40" s="53"/>
    </row>
    <row r="41" spans="1:7" ht="15.75" customHeight="1" x14ac:dyDescent="0.3">
      <c r="C41" s="95">
        <v>1714.9</v>
      </c>
      <c r="D41" s="88">
        <f t="shared" si="0"/>
        <v>-6.5529367442009024E-4</v>
      </c>
      <c r="E41" s="53"/>
    </row>
    <row r="42" spans="1:7" ht="15.75" customHeight="1" x14ac:dyDescent="0.3">
      <c r="C42" s="95">
        <v>1718.9</v>
      </c>
      <c r="D42" s="88">
        <f t="shared" si="0"/>
        <v>1.6756753764297083E-3</v>
      </c>
      <c r="E42" s="53"/>
    </row>
    <row r="43" spans="1:7" ht="16.5" customHeight="1" x14ac:dyDescent="0.3">
      <c r="C43" s="96">
        <v>1695.7</v>
      </c>
      <c r="D43" s="89">
        <f t="shared" si="0"/>
        <v>-1.184394511849915E-2</v>
      </c>
      <c r="E43" s="53"/>
    </row>
    <row r="44" spans="1:7" ht="16.5" customHeight="1" x14ac:dyDescent="0.3">
      <c r="C44" s="54"/>
      <c r="D44" s="53"/>
      <c r="E44" s="55"/>
    </row>
    <row r="45" spans="1:7" ht="16.5" customHeight="1" x14ac:dyDescent="0.3">
      <c r="B45" s="82" t="s">
        <v>42</v>
      </c>
      <c r="C45" s="83">
        <f>SUM(C24:C44)</f>
        <v>34320.49</v>
      </c>
      <c r="D45" s="78"/>
      <c r="E45" s="54"/>
    </row>
    <row r="46" spans="1:7" ht="17.25" customHeight="1" x14ac:dyDescent="0.3">
      <c r="B46" s="82" t="s">
        <v>43</v>
      </c>
      <c r="C46" s="84">
        <f>AVERAGE(C24:C44)</f>
        <v>1716.0245</v>
      </c>
      <c r="E46" s="56"/>
    </row>
    <row r="47" spans="1:7" ht="17.25" customHeight="1" x14ac:dyDescent="0.3">
      <c r="A47" s="60"/>
      <c r="B47" s="79"/>
      <c r="D47" s="58"/>
      <c r="E47" s="56"/>
    </row>
    <row r="48" spans="1:7" ht="33.75" customHeight="1" x14ac:dyDescent="0.3">
      <c r="B48" s="92" t="s">
        <v>43</v>
      </c>
      <c r="C48" s="85" t="s">
        <v>44</v>
      </c>
      <c r="D48" s="80"/>
      <c r="G48" s="58"/>
    </row>
    <row r="49" spans="1:6" ht="17.25" customHeight="1" x14ac:dyDescent="0.3">
      <c r="B49" s="482">
        <f>C46</f>
        <v>1716.0245</v>
      </c>
      <c r="C49" s="93">
        <f>-IF(C46&lt;=80,10%,IF(C46&lt;250,7.5%,5%))</f>
        <v>-0.05</v>
      </c>
      <c r="D49" s="81">
        <f>IF(C46&lt;=80,C46*0.9,IF(C46&lt;250,C46*0.925,C46*0.95))</f>
        <v>1630.2232749999998</v>
      </c>
    </row>
    <row r="50" spans="1:6" ht="17.25" customHeight="1" x14ac:dyDescent="0.3">
      <c r="B50" s="483"/>
      <c r="C50" s="94">
        <f>IF(C46&lt;=80, 10%, IF(C46&lt;250, 7.5%, 5%))</f>
        <v>0.05</v>
      </c>
      <c r="D50" s="81">
        <f>IF(C46&lt;=80, C46*1.1, IF(C46&lt;250, C46*1.075, C46*1.05))</f>
        <v>1801.8257250000001</v>
      </c>
    </row>
    <row r="51" spans="1:6" ht="16.5" customHeight="1" x14ac:dyDescent="0.3">
      <c r="A51" s="63"/>
      <c r="B51" s="64"/>
      <c r="C51" s="60"/>
      <c r="D51" s="65"/>
      <c r="E51" s="60"/>
      <c r="F51" s="66"/>
    </row>
    <row r="52" spans="1:6" ht="16.5" customHeight="1" x14ac:dyDescent="0.3">
      <c r="A52" s="60"/>
      <c r="B52" s="67" t="s">
        <v>26</v>
      </c>
      <c r="C52" s="67"/>
      <c r="D52" s="68" t="s">
        <v>27</v>
      </c>
      <c r="E52" s="69"/>
      <c r="F52" s="68" t="s">
        <v>28</v>
      </c>
    </row>
    <row r="53" spans="1:6" ht="34.5" customHeight="1" x14ac:dyDescent="0.3">
      <c r="A53" s="70" t="s">
        <v>29</v>
      </c>
      <c r="B53" s="71"/>
      <c r="C53" s="72"/>
      <c r="D53" s="71"/>
      <c r="E53" s="61"/>
      <c r="F53" s="73"/>
    </row>
    <row r="54" spans="1:6" ht="34.5" customHeight="1" x14ac:dyDescent="0.3">
      <c r="A54" s="70" t="s">
        <v>30</v>
      </c>
      <c r="B54" s="74"/>
      <c r="C54" s="75"/>
      <c r="D54" s="74"/>
      <c r="E54" s="61"/>
      <c r="F54" s="76"/>
    </row>
  </sheetData>
  <sheetProtection password="9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47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46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45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44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43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42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41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40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39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38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37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36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35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34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33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32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31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30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9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28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27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44" orientation="portrait" r:id="rId1"/>
  <headerFooter alignWithMargins="0"/>
  <colBreaks count="1" manualBreakCount="1">
    <brk id="6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A10" zoomScale="50" zoomScaleNormal="40" zoomScalePageLayoutView="50" workbookViewId="0">
      <selection activeCell="A39" sqref="A39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520" t="s">
        <v>45</v>
      </c>
      <c r="B1" s="520"/>
      <c r="C1" s="520"/>
      <c r="D1" s="520"/>
      <c r="E1" s="520"/>
      <c r="F1" s="520"/>
      <c r="G1" s="520"/>
      <c r="H1" s="520"/>
      <c r="I1" s="520"/>
    </row>
    <row r="2" spans="1:9" ht="18.75" customHeight="1" x14ac:dyDescent="0.25">
      <c r="A2" s="520"/>
      <c r="B2" s="520"/>
      <c r="C2" s="520"/>
      <c r="D2" s="520"/>
      <c r="E2" s="520"/>
      <c r="F2" s="520"/>
      <c r="G2" s="520"/>
      <c r="H2" s="520"/>
      <c r="I2" s="520"/>
    </row>
    <row r="3" spans="1:9" ht="18.75" customHeight="1" x14ac:dyDescent="0.25">
      <c r="A3" s="520"/>
      <c r="B3" s="520"/>
      <c r="C3" s="520"/>
      <c r="D3" s="520"/>
      <c r="E3" s="520"/>
      <c r="F3" s="520"/>
      <c r="G3" s="520"/>
      <c r="H3" s="520"/>
      <c r="I3" s="520"/>
    </row>
    <row r="4" spans="1:9" ht="18.75" customHeight="1" x14ac:dyDescent="0.25">
      <c r="A4" s="520"/>
      <c r="B4" s="520"/>
      <c r="C4" s="520"/>
      <c r="D4" s="520"/>
      <c r="E4" s="520"/>
      <c r="F4" s="520"/>
      <c r="G4" s="520"/>
      <c r="H4" s="520"/>
      <c r="I4" s="520"/>
    </row>
    <row r="5" spans="1:9" ht="18.75" customHeight="1" x14ac:dyDescent="0.25">
      <c r="A5" s="520"/>
      <c r="B5" s="520"/>
      <c r="C5" s="520"/>
      <c r="D5" s="520"/>
      <c r="E5" s="520"/>
      <c r="F5" s="520"/>
      <c r="G5" s="520"/>
      <c r="H5" s="520"/>
      <c r="I5" s="520"/>
    </row>
    <row r="6" spans="1:9" ht="18.75" customHeight="1" x14ac:dyDescent="0.25">
      <c r="A6" s="520"/>
      <c r="B6" s="520"/>
      <c r="C6" s="520"/>
      <c r="D6" s="520"/>
      <c r="E6" s="520"/>
      <c r="F6" s="520"/>
      <c r="G6" s="520"/>
      <c r="H6" s="520"/>
      <c r="I6" s="520"/>
    </row>
    <row r="7" spans="1:9" ht="18.75" customHeight="1" x14ac:dyDescent="0.25">
      <c r="A7" s="520"/>
      <c r="B7" s="520"/>
      <c r="C7" s="520"/>
      <c r="D7" s="520"/>
      <c r="E7" s="520"/>
      <c r="F7" s="520"/>
      <c r="G7" s="520"/>
      <c r="H7" s="520"/>
      <c r="I7" s="520"/>
    </row>
    <row r="8" spans="1:9" x14ac:dyDescent="0.25">
      <c r="A8" s="521" t="s">
        <v>46</v>
      </c>
      <c r="B8" s="521"/>
      <c r="C8" s="521"/>
      <c r="D8" s="521"/>
      <c r="E8" s="521"/>
      <c r="F8" s="521"/>
      <c r="G8" s="521"/>
      <c r="H8" s="521"/>
      <c r="I8" s="521"/>
    </row>
    <row r="9" spans="1:9" x14ac:dyDescent="0.25">
      <c r="A9" s="521"/>
      <c r="B9" s="521"/>
      <c r="C9" s="521"/>
      <c r="D9" s="521"/>
      <c r="E9" s="521"/>
      <c r="F9" s="521"/>
      <c r="G9" s="521"/>
      <c r="H9" s="521"/>
      <c r="I9" s="521"/>
    </row>
    <row r="10" spans="1:9" x14ac:dyDescent="0.25">
      <c r="A10" s="521"/>
      <c r="B10" s="521"/>
      <c r="C10" s="521"/>
      <c r="D10" s="521"/>
      <c r="E10" s="521"/>
      <c r="F10" s="521"/>
      <c r="G10" s="521"/>
      <c r="H10" s="521"/>
      <c r="I10" s="521"/>
    </row>
    <row r="11" spans="1:9" x14ac:dyDescent="0.25">
      <c r="A11" s="521"/>
      <c r="B11" s="521"/>
      <c r="C11" s="521"/>
      <c r="D11" s="521"/>
      <c r="E11" s="521"/>
      <c r="F11" s="521"/>
      <c r="G11" s="521"/>
      <c r="H11" s="521"/>
      <c r="I11" s="521"/>
    </row>
    <row r="12" spans="1:9" x14ac:dyDescent="0.25">
      <c r="A12" s="521"/>
      <c r="B12" s="521"/>
      <c r="C12" s="521"/>
      <c r="D12" s="521"/>
      <c r="E12" s="521"/>
      <c r="F12" s="521"/>
      <c r="G12" s="521"/>
      <c r="H12" s="521"/>
      <c r="I12" s="521"/>
    </row>
    <row r="13" spans="1:9" x14ac:dyDescent="0.25">
      <c r="A13" s="521"/>
      <c r="B13" s="521"/>
      <c r="C13" s="521"/>
      <c r="D13" s="521"/>
      <c r="E13" s="521"/>
      <c r="F13" s="521"/>
      <c r="G13" s="521"/>
      <c r="H13" s="521"/>
      <c r="I13" s="521"/>
    </row>
    <row r="14" spans="1:9" x14ac:dyDescent="0.25">
      <c r="A14" s="521"/>
      <c r="B14" s="521"/>
      <c r="C14" s="521"/>
      <c r="D14" s="521"/>
      <c r="E14" s="521"/>
      <c r="F14" s="521"/>
      <c r="G14" s="521"/>
      <c r="H14" s="521"/>
      <c r="I14" s="521"/>
    </row>
    <row r="15" spans="1:9" ht="19.5" customHeight="1" x14ac:dyDescent="0.3">
      <c r="A15" s="98"/>
    </row>
    <row r="16" spans="1:9" ht="19.5" customHeight="1" x14ac:dyDescent="0.3">
      <c r="A16" s="493" t="s">
        <v>31</v>
      </c>
      <c r="B16" s="494"/>
      <c r="C16" s="494"/>
      <c r="D16" s="494"/>
      <c r="E16" s="494"/>
      <c r="F16" s="494"/>
      <c r="G16" s="494"/>
      <c r="H16" s="495"/>
    </row>
    <row r="17" spans="1:14" ht="20.25" customHeight="1" x14ac:dyDescent="0.25">
      <c r="A17" s="496" t="s">
        <v>47</v>
      </c>
      <c r="B17" s="496"/>
      <c r="C17" s="496"/>
      <c r="D17" s="496"/>
      <c r="E17" s="496"/>
      <c r="F17" s="496"/>
      <c r="G17" s="496"/>
      <c r="H17" s="496"/>
    </row>
    <row r="18" spans="1:14" ht="26.25" customHeight="1" x14ac:dyDescent="0.4">
      <c r="A18" s="100" t="s">
        <v>33</v>
      </c>
      <c r="B18" s="492" t="s">
        <v>5</v>
      </c>
      <c r="C18" s="492"/>
      <c r="D18" s="246"/>
      <c r="E18" s="101"/>
      <c r="F18" s="102"/>
      <c r="G18" s="102"/>
      <c r="H18" s="102"/>
    </row>
    <row r="19" spans="1:14" ht="26.25" customHeight="1" x14ac:dyDescent="0.4">
      <c r="A19" s="100" t="s">
        <v>34</v>
      </c>
      <c r="B19" s="103" t="s">
        <v>7</v>
      </c>
      <c r="C19" s="255">
        <v>1</v>
      </c>
      <c r="D19" s="102"/>
      <c r="E19" s="102"/>
      <c r="F19" s="102"/>
      <c r="G19" s="102"/>
      <c r="H19" s="102"/>
    </row>
    <row r="20" spans="1:14" ht="26.25" customHeight="1" x14ac:dyDescent="0.4">
      <c r="A20" s="100" t="s">
        <v>35</v>
      </c>
      <c r="B20" s="497" t="s">
        <v>131</v>
      </c>
      <c r="C20" s="497"/>
      <c r="D20" s="102"/>
      <c r="E20" s="102"/>
      <c r="F20" s="102"/>
      <c r="G20" s="102"/>
      <c r="H20" s="102"/>
    </row>
    <row r="21" spans="1:14" ht="26.25" customHeight="1" x14ac:dyDescent="0.4">
      <c r="A21" s="100" t="s">
        <v>36</v>
      </c>
      <c r="B21" s="497" t="s">
        <v>11</v>
      </c>
      <c r="C21" s="497"/>
      <c r="D21" s="497"/>
      <c r="E21" s="497"/>
      <c r="F21" s="497"/>
      <c r="G21" s="497"/>
      <c r="H21" s="497"/>
      <c r="I21" s="104"/>
    </row>
    <row r="22" spans="1:14" ht="26.25" customHeight="1" x14ac:dyDescent="0.4">
      <c r="A22" s="100" t="s">
        <v>37</v>
      </c>
      <c r="B22" s="105">
        <v>43182</v>
      </c>
      <c r="C22" s="102"/>
      <c r="D22" s="102"/>
      <c r="E22" s="102"/>
      <c r="F22" s="102"/>
      <c r="G22" s="102"/>
      <c r="H22" s="102"/>
    </row>
    <row r="23" spans="1:14" ht="26.25" customHeight="1" x14ac:dyDescent="0.4">
      <c r="A23" s="100" t="s">
        <v>38</v>
      </c>
      <c r="B23" s="105">
        <v>43195</v>
      </c>
      <c r="C23" s="102"/>
      <c r="D23" s="102"/>
      <c r="E23" s="102"/>
      <c r="F23" s="102"/>
      <c r="G23" s="102"/>
      <c r="H23" s="102"/>
    </row>
    <row r="24" spans="1:14" ht="18.75" x14ac:dyDescent="0.3">
      <c r="A24" s="100"/>
      <c r="B24" s="106"/>
    </row>
    <row r="25" spans="1:14" ht="18.75" x14ac:dyDescent="0.3">
      <c r="A25" s="107" t="s">
        <v>1</v>
      </c>
      <c r="B25" s="106"/>
    </row>
    <row r="26" spans="1:14" ht="26.25" customHeight="1" x14ac:dyDescent="0.4">
      <c r="A26" s="108" t="s">
        <v>4</v>
      </c>
      <c r="B26" s="492" t="s">
        <v>131</v>
      </c>
      <c r="C26" s="492"/>
    </row>
    <row r="27" spans="1:14" ht="26.25" customHeight="1" x14ac:dyDescent="0.4">
      <c r="A27" s="109" t="s">
        <v>48</v>
      </c>
      <c r="B27" s="498" t="s">
        <v>132</v>
      </c>
      <c r="C27" s="498"/>
    </row>
    <row r="28" spans="1:14" ht="27" customHeight="1" x14ac:dyDescent="0.4">
      <c r="A28" s="109" t="s">
        <v>6</v>
      </c>
      <c r="B28" s="110">
        <v>99.39</v>
      </c>
    </row>
    <row r="29" spans="1:14" s="14" customFormat="1" ht="27" customHeight="1" x14ac:dyDescent="0.4">
      <c r="A29" s="109" t="s">
        <v>49</v>
      </c>
      <c r="B29" s="111">
        <v>0</v>
      </c>
      <c r="C29" s="499" t="s">
        <v>50</v>
      </c>
      <c r="D29" s="500"/>
      <c r="E29" s="500"/>
      <c r="F29" s="500"/>
      <c r="G29" s="501"/>
      <c r="I29" s="112"/>
      <c r="J29" s="112"/>
      <c r="K29" s="112"/>
      <c r="L29" s="112"/>
    </row>
    <row r="30" spans="1:14" s="14" customFormat="1" ht="19.5" customHeight="1" x14ac:dyDescent="0.3">
      <c r="A30" s="109" t="s">
        <v>51</v>
      </c>
      <c r="B30" s="113">
        <f>B28-B29</f>
        <v>99.39</v>
      </c>
      <c r="C30" s="114"/>
      <c r="D30" s="114"/>
      <c r="E30" s="114"/>
      <c r="F30" s="114"/>
      <c r="G30" s="115"/>
      <c r="I30" s="112"/>
      <c r="J30" s="112"/>
      <c r="K30" s="112"/>
      <c r="L30" s="112"/>
    </row>
    <row r="31" spans="1:14" s="14" customFormat="1" ht="27" customHeight="1" x14ac:dyDescent="0.4">
      <c r="A31" s="109" t="s">
        <v>52</v>
      </c>
      <c r="B31" s="116">
        <v>1</v>
      </c>
      <c r="C31" s="502" t="s">
        <v>53</v>
      </c>
      <c r="D31" s="503"/>
      <c r="E31" s="503"/>
      <c r="F31" s="503"/>
      <c r="G31" s="503"/>
      <c r="H31" s="504"/>
      <c r="I31" s="112"/>
      <c r="J31" s="112"/>
      <c r="K31" s="112"/>
      <c r="L31" s="112"/>
    </row>
    <row r="32" spans="1:14" s="14" customFormat="1" ht="27" customHeight="1" x14ac:dyDescent="0.4">
      <c r="A32" s="109" t="s">
        <v>54</v>
      </c>
      <c r="B32" s="116">
        <v>1</v>
      </c>
      <c r="C32" s="502" t="s">
        <v>55</v>
      </c>
      <c r="D32" s="503"/>
      <c r="E32" s="503"/>
      <c r="F32" s="503"/>
      <c r="G32" s="503"/>
      <c r="H32" s="504"/>
      <c r="I32" s="112"/>
      <c r="J32" s="112"/>
      <c r="K32" s="112"/>
      <c r="L32" s="117"/>
      <c r="M32" s="117"/>
      <c r="N32" s="118"/>
    </row>
    <row r="33" spans="1:14" s="14" customFormat="1" ht="17.25" customHeight="1" x14ac:dyDescent="0.3">
      <c r="A33" s="109"/>
      <c r="B33" s="119"/>
      <c r="C33" s="120"/>
      <c r="D33" s="120"/>
      <c r="E33" s="120"/>
      <c r="F33" s="120"/>
      <c r="G33" s="120"/>
      <c r="H33" s="120"/>
      <c r="I33" s="112"/>
      <c r="J33" s="112"/>
      <c r="K33" s="112"/>
      <c r="L33" s="117"/>
      <c r="M33" s="117"/>
      <c r="N33" s="118"/>
    </row>
    <row r="34" spans="1:14" s="14" customFormat="1" ht="18.75" x14ac:dyDescent="0.3">
      <c r="A34" s="109" t="s">
        <v>56</v>
      </c>
      <c r="B34" s="121">
        <f>B31/B32</f>
        <v>1</v>
      </c>
      <c r="C34" s="99" t="s">
        <v>57</v>
      </c>
      <c r="D34" s="99"/>
      <c r="E34" s="99"/>
      <c r="F34" s="99"/>
      <c r="G34" s="99"/>
      <c r="I34" s="112"/>
      <c r="J34" s="112"/>
      <c r="K34" s="112"/>
      <c r="L34" s="117"/>
      <c r="M34" s="117"/>
      <c r="N34" s="118"/>
    </row>
    <row r="35" spans="1:14" s="14" customFormat="1" ht="19.5" customHeight="1" x14ac:dyDescent="0.3">
      <c r="A35" s="109"/>
      <c r="B35" s="113"/>
      <c r="G35" s="99"/>
      <c r="I35" s="112"/>
      <c r="J35" s="112"/>
      <c r="K35" s="112"/>
      <c r="L35" s="117"/>
      <c r="M35" s="117"/>
      <c r="N35" s="118"/>
    </row>
    <row r="36" spans="1:14" s="14" customFormat="1" ht="27" customHeight="1" x14ac:dyDescent="0.4">
      <c r="A36" s="122" t="s">
        <v>58</v>
      </c>
      <c r="B36" s="123">
        <v>50</v>
      </c>
      <c r="C36" s="99"/>
      <c r="D36" s="505" t="s">
        <v>59</v>
      </c>
      <c r="E36" s="506"/>
      <c r="F36" s="505" t="s">
        <v>60</v>
      </c>
      <c r="G36" s="507"/>
      <c r="J36" s="112"/>
      <c r="K36" s="112"/>
      <c r="L36" s="117"/>
      <c r="M36" s="117"/>
      <c r="N36" s="118"/>
    </row>
    <row r="37" spans="1:14" s="14" customFormat="1" ht="27" customHeight="1" x14ac:dyDescent="0.4">
      <c r="A37" s="124" t="s">
        <v>61</v>
      </c>
      <c r="B37" s="125">
        <v>10</v>
      </c>
      <c r="C37" s="126" t="s">
        <v>62</v>
      </c>
      <c r="D37" s="127" t="s">
        <v>63</v>
      </c>
      <c r="E37" s="128" t="s">
        <v>64</v>
      </c>
      <c r="F37" s="127" t="s">
        <v>63</v>
      </c>
      <c r="G37" s="129" t="s">
        <v>64</v>
      </c>
      <c r="I37" s="130" t="s">
        <v>65</v>
      </c>
      <c r="J37" s="112"/>
      <c r="K37" s="112"/>
      <c r="L37" s="117"/>
      <c r="M37" s="117"/>
      <c r="N37" s="118"/>
    </row>
    <row r="38" spans="1:14" s="14" customFormat="1" ht="26.25" customHeight="1" x14ac:dyDescent="0.4">
      <c r="A38" s="124" t="s">
        <v>66</v>
      </c>
      <c r="B38" s="125">
        <v>25</v>
      </c>
      <c r="C38" s="131">
        <v>1</v>
      </c>
      <c r="D38" s="132">
        <v>21259000</v>
      </c>
      <c r="E38" s="133">
        <f>IF(ISBLANK(D38),"-",$D$48/$D$45*D38)</f>
        <v>21318414.420991302</v>
      </c>
      <c r="F38" s="132">
        <v>22513299</v>
      </c>
      <c r="G38" s="134">
        <f>IF(ISBLANK(F38),"-",$D$48/$F$45*F38)</f>
        <v>21766309.723135602</v>
      </c>
      <c r="I38" s="135"/>
      <c r="J38" s="112"/>
      <c r="K38" s="112"/>
      <c r="L38" s="117"/>
      <c r="M38" s="117"/>
      <c r="N38" s="118"/>
    </row>
    <row r="39" spans="1:14" s="14" customFormat="1" ht="26.25" customHeight="1" x14ac:dyDescent="0.4">
      <c r="A39" s="124" t="s">
        <v>67</v>
      </c>
      <c r="B39" s="125">
        <v>1</v>
      </c>
      <c r="C39" s="136">
        <v>2</v>
      </c>
      <c r="D39" s="137">
        <v>21489875</v>
      </c>
      <c r="E39" s="138">
        <f>IF(ISBLANK(D39),"-",$D$48/$D$45*D39)</f>
        <v>21549934.66791949</v>
      </c>
      <c r="F39" s="137">
        <v>22517476</v>
      </c>
      <c r="G39" s="139">
        <f>IF(ISBLANK(F39),"-",$D$48/$F$45*F39)</f>
        <v>21770348.130643692</v>
      </c>
      <c r="I39" s="509">
        <f>ABS((F43/D43*D42)-F42)/D42</f>
        <v>1.3302553992213624E-2</v>
      </c>
      <c r="J39" s="112"/>
      <c r="K39" s="112"/>
      <c r="L39" s="117"/>
      <c r="M39" s="117"/>
      <c r="N39" s="118"/>
    </row>
    <row r="40" spans="1:14" ht="26.25" customHeight="1" x14ac:dyDescent="0.4">
      <c r="A40" s="124" t="s">
        <v>68</v>
      </c>
      <c r="B40" s="125">
        <v>1</v>
      </c>
      <c r="C40" s="136">
        <v>3</v>
      </c>
      <c r="D40" s="137">
        <v>21560383</v>
      </c>
      <c r="E40" s="138">
        <f>IF(ISBLANK(D40),"-",$D$48/$D$45*D40)</f>
        <v>21620639.722907744</v>
      </c>
      <c r="F40" s="137">
        <v>22526863</v>
      </c>
      <c r="G40" s="139">
        <f>IF(ISBLANK(F40),"-",$D$48/$F$45*F40)</f>
        <v>21779423.670810912</v>
      </c>
      <c r="I40" s="509"/>
      <c r="L40" s="117"/>
      <c r="M40" s="117"/>
      <c r="N40" s="140"/>
    </row>
    <row r="41" spans="1:14" ht="27" customHeight="1" x14ac:dyDescent="0.4">
      <c r="A41" s="124" t="s">
        <v>69</v>
      </c>
      <c r="B41" s="125">
        <v>1</v>
      </c>
      <c r="C41" s="141">
        <v>4</v>
      </c>
      <c r="D41" s="142"/>
      <c r="E41" s="143" t="str">
        <f>IF(ISBLANK(D41),"-",$D$48/$D$45*D41)</f>
        <v>-</v>
      </c>
      <c r="F41" s="142"/>
      <c r="G41" s="144" t="str">
        <f>IF(ISBLANK(F41),"-",$D$48/$F$45*F41)</f>
        <v>-</v>
      </c>
      <c r="I41" s="145"/>
      <c r="L41" s="117"/>
      <c r="M41" s="117"/>
      <c r="N41" s="140"/>
    </row>
    <row r="42" spans="1:14" ht="27" customHeight="1" x14ac:dyDescent="0.4">
      <c r="A42" s="124" t="s">
        <v>70</v>
      </c>
      <c r="B42" s="125">
        <v>1</v>
      </c>
      <c r="C42" s="146" t="s">
        <v>71</v>
      </c>
      <c r="D42" s="147">
        <f>AVERAGE(D38:D41)</f>
        <v>21436419.333333332</v>
      </c>
      <c r="E42" s="148">
        <f>AVERAGE(E38:E41)</f>
        <v>21496329.603939511</v>
      </c>
      <c r="F42" s="147">
        <f>AVERAGE(F38:F41)</f>
        <v>22519212.666666668</v>
      </c>
      <c r="G42" s="149">
        <f>AVERAGE(G38:G41)</f>
        <v>21772027.174863402</v>
      </c>
      <c r="H42" s="150"/>
    </row>
    <row r="43" spans="1:14" ht="26.25" customHeight="1" x14ac:dyDescent="0.4">
      <c r="A43" s="124" t="s">
        <v>72</v>
      </c>
      <c r="B43" s="125">
        <v>1</v>
      </c>
      <c r="C43" s="151" t="s">
        <v>73</v>
      </c>
      <c r="D43" s="152">
        <v>15.05</v>
      </c>
      <c r="E43" s="140"/>
      <c r="F43" s="152">
        <v>15.61</v>
      </c>
      <c r="H43" s="150"/>
    </row>
    <row r="44" spans="1:14" ht="26.25" customHeight="1" x14ac:dyDescent="0.4">
      <c r="A44" s="124" t="s">
        <v>74</v>
      </c>
      <c r="B44" s="125">
        <v>1</v>
      </c>
      <c r="C44" s="153" t="s">
        <v>75</v>
      </c>
      <c r="D44" s="154">
        <f>D43*$B$34</f>
        <v>15.05</v>
      </c>
      <c r="E44" s="155"/>
      <c r="F44" s="154">
        <f>F43*$B$34</f>
        <v>15.61</v>
      </c>
      <c r="H44" s="150"/>
    </row>
    <row r="45" spans="1:14" ht="19.5" customHeight="1" x14ac:dyDescent="0.3">
      <c r="A45" s="124" t="s">
        <v>76</v>
      </c>
      <c r="B45" s="156">
        <f>(B44/B43)*(B42/B41)*(B40/B39)*(B38/B37)*B36</f>
        <v>125</v>
      </c>
      <c r="C45" s="153" t="s">
        <v>77</v>
      </c>
      <c r="D45" s="157">
        <f>D44*$B$30/100</f>
        <v>14.958195</v>
      </c>
      <c r="E45" s="158"/>
      <c r="F45" s="157">
        <f>F44*$B$30/100</f>
        <v>15.514778999999999</v>
      </c>
      <c r="H45" s="150"/>
    </row>
    <row r="46" spans="1:14" ht="19.5" customHeight="1" x14ac:dyDescent="0.3">
      <c r="A46" s="510" t="s">
        <v>78</v>
      </c>
      <c r="B46" s="511"/>
      <c r="C46" s="153" t="s">
        <v>79</v>
      </c>
      <c r="D46" s="159">
        <f>D45/$B$45</f>
        <v>0.11966556</v>
      </c>
      <c r="E46" s="160"/>
      <c r="F46" s="161">
        <f>F45/$B$45</f>
        <v>0.124118232</v>
      </c>
      <c r="H46" s="150"/>
    </row>
    <row r="47" spans="1:14" ht="27" customHeight="1" x14ac:dyDescent="0.4">
      <c r="A47" s="512"/>
      <c r="B47" s="513"/>
      <c r="C47" s="162" t="s">
        <v>80</v>
      </c>
      <c r="D47" s="163">
        <v>0.12</v>
      </c>
      <c r="E47" s="164"/>
      <c r="F47" s="160"/>
      <c r="H47" s="150"/>
    </row>
    <row r="48" spans="1:14" ht="18.75" x14ac:dyDescent="0.3">
      <c r="C48" s="165" t="s">
        <v>81</v>
      </c>
      <c r="D48" s="157">
        <f>D47*$B$45</f>
        <v>15</v>
      </c>
      <c r="F48" s="166"/>
      <c r="H48" s="150"/>
    </row>
    <row r="49" spans="1:12" ht="19.5" customHeight="1" x14ac:dyDescent="0.3">
      <c r="C49" s="167" t="s">
        <v>82</v>
      </c>
      <c r="D49" s="168">
        <f>D48/B34</f>
        <v>15</v>
      </c>
      <c r="F49" s="166"/>
      <c r="H49" s="150"/>
    </row>
    <row r="50" spans="1:12" ht="18.75" x14ac:dyDescent="0.3">
      <c r="C50" s="122" t="s">
        <v>83</v>
      </c>
      <c r="D50" s="169">
        <f>AVERAGE(E38:E41,G38:G41)</f>
        <v>21634178.389401454</v>
      </c>
      <c r="F50" s="170"/>
      <c r="H50" s="150"/>
    </row>
    <row r="51" spans="1:12" ht="18.75" x14ac:dyDescent="0.3">
      <c r="C51" s="124" t="s">
        <v>84</v>
      </c>
      <c r="D51" s="171">
        <f>STDEV(E38:E41,G38:G41)/D50</f>
        <v>8.3735199094455495E-3</v>
      </c>
      <c r="F51" s="170"/>
      <c r="H51" s="150"/>
    </row>
    <row r="52" spans="1:12" ht="19.5" customHeight="1" x14ac:dyDescent="0.3">
      <c r="C52" s="172" t="s">
        <v>20</v>
      </c>
      <c r="D52" s="173">
        <f>COUNT(E38:E41,G38:G41)</f>
        <v>6</v>
      </c>
      <c r="F52" s="170"/>
    </row>
    <row r="54" spans="1:12" ht="18.75" x14ac:dyDescent="0.3">
      <c r="A54" s="174" t="s">
        <v>1</v>
      </c>
      <c r="B54" s="175" t="s">
        <v>85</v>
      </c>
    </row>
    <row r="55" spans="1:12" ht="18.75" x14ac:dyDescent="0.3">
      <c r="A55" s="99" t="s">
        <v>86</v>
      </c>
      <c r="B55" s="176" t="str">
        <f>B21</f>
        <v>Each film-coated tablet contains: Efavirenz 600 mg, Lamivudine USP 300 mg and Tenofovir DisoproxilFumarate 300 mg equivalent to Tenofovir Disoproxil 245 mg.</v>
      </c>
    </row>
    <row r="56" spans="1:12" ht="26.25" customHeight="1" x14ac:dyDescent="0.4">
      <c r="A56" s="177" t="s">
        <v>87</v>
      </c>
      <c r="B56" s="178">
        <v>300</v>
      </c>
      <c r="C56" s="99" t="str">
        <f>B20</f>
        <v>LAMIVUDINE</v>
      </c>
      <c r="H56" s="179"/>
    </row>
    <row r="57" spans="1:12" ht="18.75" x14ac:dyDescent="0.3">
      <c r="A57" s="176" t="s">
        <v>88</v>
      </c>
      <c r="B57" s="247">
        <f>Uniformity!C46</f>
        <v>1716.0245</v>
      </c>
      <c r="H57" s="179"/>
    </row>
    <row r="58" spans="1:12" ht="19.5" customHeight="1" x14ac:dyDescent="0.3">
      <c r="H58" s="179"/>
    </row>
    <row r="59" spans="1:12" s="14" customFormat="1" ht="27" customHeight="1" x14ac:dyDescent="0.4">
      <c r="A59" s="122" t="s">
        <v>89</v>
      </c>
      <c r="B59" s="123">
        <v>250</v>
      </c>
      <c r="C59" s="99"/>
      <c r="D59" s="180" t="s">
        <v>90</v>
      </c>
      <c r="E59" s="181" t="s">
        <v>62</v>
      </c>
      <c r="F59" s="181" t="s">
        <v>63</v>
      </c>
      <c r="G59" s="181" t="s">
        <v>91</v>
      </c>
      <c r="H59" s="126" t="s">
        <v>92</v>
      </c>
      <c r="L59" s="112"/>
    </row>
    <row r="60" spans="1:12" s="14" customFormat="1" ht="26.25" customHeight="1" x14ac:dyDescent="0.4">
      <c r="A60" s="124" t="s">
        <v>93</v>
      </c>
      <c r="B60" s="125">
        <v>10</v>
      </c>
      <c r="C60" s="514" t="s">
        <v>94</v>
      </c>
      <c r="D60" s="517">
        <v>1707.43</v>
      </c>
      <c r="E60" s="182">
        <v>1</v>
      </c>
      <c r="F60" s="183">
        <v>21095334</v>
      </c>
      <c r="G60" s="248">
        <f>IF(ISBLANK(F60),"-",(F60/$D$50*$D$47*$B$68)*($B$57/$D$60))</f>
        <v>294.00033847632773</v>
      </c>
      <c r="H60" s="266">
        <f t="shared" ref="H60:H71" si="0">IF(ISBLANK(F60),"-",(G60/$B$56)*100)</f>
        <v>98.000112825442571</v>
      </c>
      <c r="L60" s="112"/>
    </row>
    <row r="61" spans="1:12" s="14" customFormat="1" ht="26.25" customHeight="1" x14ac:dyDescent="0.4">
      <c r="A61" s="124" t="s">
        <v>95</v>
      </c>
      <c r="B61" s="125">
        <v>100</v>
      </c>
      <c r="C61" s="515"/>
      <c r="D61" s="518"/>
      <c r="E61" s="184">
        <v>2</v>
      </c>
      <c r="F61" s="137">
        <v>21276393</v>
      </c>
      <c r="G61" s="249">
        <f>IF(ISBLANK(F61),"-",(F61/$D$50*$D$47*$B$68)*($B$57/$D$60))</f>
        <v>296.52371199978961</v>
      </c>
      <c r="H61" s="267">
        <f t="shared" si="0"/>
        <v>98.841237333263194</v>
      </c>
      <c r="L61" s="112"/>
    </row>
    <row r="62" spans="1:12" s="14" customFormat="1" ht="26.25" customHeight="1" x14ac:dyDescent="0.4">
      <c r="A62" s="124" t="s">
        <v>96</v>
      </c>
      <c r="B62" s="125">
        <v>1</v>
      </c>
      <c r="C62" s="515"/>
      <c r="D62" s="518"/>
      <c r="E62" s="184">
        <v>3</v>
      </c>
      <c r="F62" s="185">
        <v>21190682</v>
      </c>
      <c r="G62" s="249">
        <f>IF(ISBLANK(F62),"-",(F62/$D$50*$D$47*$B$68)*($B$57/$D$60))</f>
        <v>295.32917945476595</v>
      </c>
      <c r="H62" s="267">
        <f t="shared" si="0"/>
        <v>98.443059818255321</v>
      </c>
      <c r="L62" s="112"/>
    </row>
    <row r="63" spans="1:12" ht="27" customHeight="1" x14ac:dyDescent="0.4">
      <c r="A63" s="124" t="s">
        <v>97</v>
      </c>
      <c r="B63" s="125">
        <v>1</v>
      </c>
      <c r="C63" s="516"/>
      <c r="D63" s="519"/>
      <c r="E63" s="186">
        <v>4</v>
      </c>
      <c r="F63" s="187"/>
      <c r="G63" s="249" t="str">
        <f>IF(ISBLANK(F63),"-",(F63/$D$50*$D$47*$B$68)*($B$57/$D$60))</f>
        <v>-</v>
      </c>
      <c r="H63" s="267" t="str">
        <f t="shared" si="0"/>
        <v>-</v>
      </c>
    </row>
    <row r="64" spans="1:12" ht="26.25" customHeight="1" x14ac:dyDescent="0.4">
      <c r="A64" s="124" t="s">
        <v>98</v>
      </c>
      <c r="B64" s="125">
        <v>1</v>
      </c>
      <c r="C64" s="514" t="s">
        <v>99</v>
      </c>
      <c r="D64" s="517">
        <v>1719.5</v>
      </c>
      <c r="E64" s="182">
        <v>1</v>
      </c>
      <c r="F64" s="183">
        <v>21492336</v>
      </c>
      <c r="G64" s="248">
        <f>IF(ISBLANK(F64),"-",(F64/$D$50*$D$47*$B$68)*($B$57/$D$64))</f>
        <v>297.43068660083105</v>
      </c>
      <c r="H64" s="266">
        <f t="shared" si="0"/>
        <v>99.143562200277017</v>
      </c>
    </row>
    <row r="65" spans="1:8" ht="26.25" customHeight="1" x14ac:dyDescent="0.4">
      <c r="A65" s="124" t="s">
        <v>100</v>
      </c>
      <c r="B65" s="125">
        <v>1</v>
      </c>
      <c r="C65" s="515"/>
      <c r="D65" s="518"/>
      <c r="E65" s="184">
        <v>2</v>
      </c>
      <c r="F65" s="137">
        <v>21679540</v>
      </c>
      <c r="G65" s="249">
        <f>IF(ISBLANK(F65),"-",(F65/$D$50*$D$47*$B$68)*($B$57/$D$64))</f>
        <v>300.02138750251163</v>
      </c>
      <c r="H65" s="267">
        <f t="shared" si="0"/>
        <v>100.00712916750388</v>
      </c>
    </row>
    <row r="66" spans="1:8" ht="26.25" customHeight="1" x14ac:dyDescent="0.4">
      <c r="A66" s="124" t="s">
        <v>101</v>
      </c>
      <c r="B66" s="125">
        <v>1</v>
      </c>
      <c r="C66" s="515"/>
      <c r="D66" s="518"/>
      <c r="E66" s="184">
        <v>3</v>
      </c>
      <c r="F66" s="137">
        <v>21588238</v>
      </c>
      <c r="G66" s="249">
        <f>IF(ISBLANK(F66),"-",(F66/$D$50*$D$47*$B$68)*($B$57/$D$64))</f>
        <v>298.75786656425583</v>
      </c>
      <c r="H66" s="267">
        <f t="shared" si="0"/>
        <v>99.585955521418612</v>
      </c>
    </row>
    <row r="67" spans="1:8" ht="27" customHeight="1" x14ac:dyDescent="0.4">
      <c r="A67" s="124" t="s">
        <v>102</v>
      </c>
      <c r="B67" s="125">
        <v>1</v>
      </c>
      <c r="C67" s="516"/>
      <c r="D67" s="519"/>
      <c r="E67" s="186">
        <v>4</v>
      </c>
      <c r="F67" s="187"/>
      <c r="G67" s="265" t="str">
        <f>IF(ISBLANK(F67),"-",(F67/$D$50*$D$47*$B$68)*($B$57/$D$64))</f>
        <v>-</v>
      </c>
      <c r="H67" s="268" t="str">
        <f t="shared" si="0"/>
        <v>-</v>
      </c>
    </row>
    <row r="68" spans="1:8" ht="26.25" customHeight="1" x14ac:dyDescent="0.4">
      <c r="A68" s="124" t="s">
        <v>103</v>
      </c>
      <c r="B68" s="188">
        <f>(B67/B66)*(B65/B64)*(B63/B62)*(B61/B60)*B59</f>
        <v>2500</v>
      </c>
      <c r="C68" s="514" t="s">
        <v>104</v>
      </c>
      <c r="D68" s="517">
        <v>1716.22</v>
      </c>
      <c r="E68" s="182">
        <v>1</v>
      </c>
      <c r="F68" s="183">
        <v>20998950</v>
      </c>
      <c r="G68" s="248">
        <f>IF(ISBLANK(F68),"-",(F68/$D$50*$D$47*$B$68)*($B$57/$D$68))</f>
        <v>291.15815122519319</v>
      </c>
      <c r="H68" s="267">
        <f t="shared" si="0"/>
        <v>97.052717075064393</v>
      </c>
    </row>
    <row r="69" spans="1:8" ht="27" customHeight="1" x14ac:dyDescent="0.4">
      <c r="A69" s="172" t="s">
        <v>105</v>
      </c>
      <c r="B69" s="189">
        <f>(D47*B68)/B56*B57</f>
        <v>1716.0245</v>
      </c>
      <c r="C69" s="515"/>
      <c r="D69" s="518"/>
      <c r="E69" s="184">
        <v>2</v>
      </c>
      <c r="F69" s="137">
        <v>21087211</v>
      </c>
      <c r="G69" s="249">
        <f>IF(ISBLANK(F69),"-",(F69/$D$50*$D$47*$B$68)*($B$57/$D$68))</f>
        <v>292.38192239400342</v>
      </c>
      <c r="H69" s="267">
        <f t="shared" si="0"/>
        <v>97.460640798001137</v>
      </c>
    </row>
    <row r="70" spans="1:8" ht="26.25" customHeight="1" x14ac:dyDescent="0.4">
      <c r="A70" s="527" t="s">
        <v>78</v>
      </c>
      <c r="B70" s="528"/>
      <c r="C70" s="515"/>
      <c r="D70" s="518"/>
      <c r="E70" s="184">
        <v>3</v>
      </c>
      <c r="F70" s="137">
        <v>21249443</v>
      </c>
      <c r="G70" s="249">
        <f>IF(ISBLANK(F70),"-",(F70/$D$50*$D$47*$B$68)*($B$57/$D$68))</f>
        <v>294.63132863524714</v>
      </c>
      <c r="H70" s="267">
        <f t="shared" si="0"/>
        <v>98.210442878415719</v>
      </c>
    </row>
    <row r="71" spans="1:8" ht="27" customHeight="1" x14ac:dyDescent="0.4">
      <c r="A71" s="529"/>
      <c r="B71" s="530"/>
      <c r="C71" s="526"/>
      <c r="D71" s="519"/>
      <c r="E71" s="186">
        <v>4</v>
      </c>
      <c r="F71" s="187"/>
      <c r="G71" s="265" t="str">
        <f>IF(ISBLANK(F71),"-",(F71/$D$50*$D$47*$B$68)*($B$57/$D$68))</f>
        <v>-</v>
      </c>
      <c r="H71" s="268" t="str">
        <f t="shared" si="0"/>
        <v>-</v>
      </c>
    </row>
    <row r="72" spans="1:8" ht="26.25" customHeight="1" x14ac:dyDescent="0.4">
      <c r="A72" s="190"/>
      <c r="B72" s="190"/>
      <c r="C72" s="190"/>
      <c r="D72" s="190"/>
      <c r="E72" s="190"/>
      <c r="F72" s="192" t="s">
        <v>71</v>
      </c>
      <c r="G72" s="254">
        <f>AVERAGE(G60:G71)</f>
        <v>295.58161920588066</v>
      </c>
      <c r="H72" s="269">
        <f>AVERAGE(H60:H71)</f>
        <v>98.5272064019602</v>
      </c>
    </row>
    <row r="73" spans="1:8" ht="26.25" customHeight="1" x14ac:dyDescent="0.4">
      <c r="C73" s="190"/>
      <c r="D73" s="190"/>
      <c r="E73" s="190"/>
      <c r="F73" s="193" t="s">
        <v>84</v>
      </c>
      <c r="G73" s="253">
        <f>STDEV(G60:G71)/G72</f>
        <v>9.8183830997625003E-3</v>
      </c>
      <c r="H73" s="253">
        <f>STDEV(H60:H71)/H72</f>
        <v>9.8183830997625142E-3</v>
      </c>
    </row>
    <row r="74" spans="1:8" ht="27" customHeight="1" x14ac:dyDescent="0.4">
      <c r="A74" s="190"/>
      <c r="B74" s="190"/>
      <c r="C74" s="191"/>
      <c r="D74" s="191"/>
      <c r="E74" s="194"/>
      <c r="F74" s="195" t="s">
        <v>20</v>
      </c>
      <c r="G74" s="196">
        <f>COUNT(G60:G71)</f>
        <v>9</v>
      </c>
      <c r="H74" s="196">
        <f>COUNT(H60:H71)</f>
        <v>9</v>
      </c>
    </row>
    <row r="76" spans="1:8" ht="26.25" customHeight="1" x14ac:dyDescent="0.4">
      <c r="A76" s="108" t="s">
        <v>106</v>
      </c>
      <c r="B76" s="197" t="s">
        <v>107</v>
      </c>
      <c r="C76" s="522" t="str">
        <f>B26</f>
        <v>LAMIVUDINE</v>
      </c>
      <c r="D76" s="522"/>
      <c r="E76" s="198" t="s">
        <v>108</v>
      </c>
      <c r="F76" s="198"/>
      <c r="G76" s="285">
        <f>H72</f>
        <v>98.5272064019602</v>
      </c>
      <c r="H76" s="200"/>
    </row>
    <row r="77" spans="1:8" ht="18.75" x14ac:dyDescent="0.3">
      <c r="A77" s="107" t="s">
        <v>109</v>
      </c>
      <c r="B77" s="107" t="s">
        <v>110</v>
      </c>
    </row>
    <row r="78" spans="1:8" ht="18.75" x14ac:dyDescent="0.3">
      <c r="A78" s="107"/>
      <c r="B78" s="107"/>
    </row>
    <row r="79" spans="1:8" ht="26.25" customHeight="1" x14ac:dyDescent="0.4">
      <c r="A79" s="108" t="s">
        <v>4</v>
      </c>
      <c r="B79" s="508" t="str">
        <f>B26</f>
        <v>LAMIVUDINE</v>
      </c>
      <c r="C79" s="508"/>
    </row>
    <row r="80" spans="1:8" ht="26.25" customHeight="1" x14ac:dyDescent="0.4">
      <c r="A80" s="109" t="s">
        <v>48</v>
      </c>
      <c r="B80" s="508" t="str">
        <f>B27</f>
        <v>L3-10</v>
      </c>
      <c r="C80" s="508"/>
    </row>
    <row r="81" spans="1:12" ht="27" customHeight="1" x14ac:dyDescent="0.4">
      <c r="A81" s="109" t="s">
        <v>6</v>
      </c>
      <c r="B81" s="201">
        <f>B28</f>
        <v>99.39</v>
      </c>
    </row>
    <row r="82" spans="1:12" s="14" customFormat="1" ht="27" customHeight="1" x14ac:dyDescent="0.4">
      <c r="A82" s="109" t="s">
        <v>49</v>
      </c>
      <c r="B82" s="111">
        <v>0</v>
      </c>
      <c r="C82" s="499" t="s">
        <v>50</v>
      </c>
      <c r="D82" s="500"/>
      <c r="E82" s="500"/>
      <c r="F82" s="500"/>
      <c r="G82" s="501"/>
      <c r="I82" s="112"/>
      <c r="J82" s="112"/>
      <c r="K82" s="112"/>
      <c r="L82" s="112"/>
    </row>
    <row r="83" spans="1:12" s="14" customFormat="1" ht="19.5" customHeight="1" x14ac:dyDescent="0.3">
      <c r="A83" s="109" t="s">
        <v>51</v>
      </c>
      <c r="B83" s="113">
        <f>B81-B82</f>
        <v>99.39</v>
      </c>
      <c r="C83" s="114"/>
      <c r="D83" s="114"/>
      <c r="E83" s="114"/>
      <c r="F83" s="114"/>
      <c r="G83" s="115"/>
      <c r="I83" s="112"/>
      <c r="J83" s="112"/>
      <c r="K83" s="112"/>
      <c r="L83" s="112"/>
    </row>
    <row r="84" spans="1:12" s="14" customFormat="1" ht="27" customHeight="1" x14ac:dyDescent="0.4">
      <c r="A84" s="109" t="s">
        <v>52</v>
      </c>
      <c r="B84" s="116">
        <v>1</v>
      </c>
      <c r="C84" s="502" t="s">
        <v>111</v>
      </c>
      <c r="D84" s="503"/>
      <c r="E84" s="503"/>
      <c r="F84" s="503"/>
      <c r="G84" s="503"/>
      <c r="H84" s="504"/>
      <c r="I84" s="112"/>
      <c r="J84" s="112"/>
      <c r="K84" s="112"/>
      <c r="L84" s="112"/>
    </row>
    <row r="85" spans="1:12" s="14" customFormat="1" ht="27" customHeight="1" x14ac:dyDescent="0.4">
      <c r="A85" s="109" t="s">
        <v>54</v>
      </c>
      <c r="B85" s="116">
        <v>1</v>
      </c>
      <c r="C85" s="502" t="s">
        <v>112</v>
      </c>
      <c r="D85" s="503"/>
      <c r="E85" s="503"/>
      <c r="F85" s="503"/>
      <c r="G85" s="503"/>
      <c r="H85" s="504"/>
      <c r="I85" s="112"/>
      <c r="J85" s="112"/>
      <c r="K85" s="112"/>
      <c r="L85" s="112"/>
    </row>
    <row r="86" spans="1:12" s="14" customFormat="1" ht="18.75" x14ac:dyDescent="0.3">
      <c r="A86" s="109"/>
      <c r="B86" s="119"/>
      <c r="C86" s="120"/>
      <c r="D86" s="120"/>
      <c r="E86" s="120"/>
      <c r="F86" s="120"/>
      <c r="G86" s="120"/>
      <c r="H86" s="120"/>
      <c r="I86" s="112"/>
      <c r="J86" s="112"/>
      <c r="K86" s="112"/>
      <c r="L86" s="112"/>
    </row>
    <row r="87" spans="1:12" s="14" customFormat="1" ht="18.75" x14ac:dyDescent="0.3">
      <c r="A87" s="109" t="s">
        <v>56</v>
      </c>
      <c r="B87" s="121">
        <f>B84/B85</f>
        <v>1</v>
      </c>
      <c r="C87" s="99" t="s">
        <v>57</v>
      </c>
      <c r="D87" s="99"/>
      <c r="E87" s="99"/>
      <c r="F87" s="99"/>
      <c r="G87" s="99"/>
      <c r="I87" s="112"/>
      <c r="J87" s="112"/>
      <c r="K87" s="112"/>
      <c r="L87" s="112"/>
    </row>
    <row r="88" spans="1:12" ht="19.5" customHeight="1" x14ac:dyDescent="0.3">
      <c r="A88" s="107"/>
      <c r="B88" s="107"/>
    </row>
    <row r="89" spans="1:12" ht="27" customHeight="1" x14ac:dyDescent="0.4">
      <c r="A89" s="122" t="s">
        <v>58</v>
      </c>
      <c r="B89" s="123">
        <v>50</v>
      </c>
      <c r="D89" s="202" t="s">
        <v>59</v>
      </c>
      <c r="E89" s="203"/>
      <c r="F89" s="505" t="s">
        <v>60</v>
      </c>
      <c r="G89" s="507"/>
    </row>
    <row r="90" spans="1:12" ht="27" customHeight="1" x14ac:dyDescent="0.4">
      <c r="A90" s="124" t="s">
        <v>61</v>
      </c>
      <c r="B90" s="125">
        <v>1</v>
      </c>
      <c r="C90" s="204" t="s">
        <v>62</v>
      </c>
      <c r="D90" s="127" t="s">
        <v>63</v>
      </c>
      <c r="E90" s="128" t="s">
        <v>64</v>
      </c>
      <c r="F90" s="127" t="s">
        <v>63</v>
      </c>
      <c r="G90" s="205" t="s">
        <v>64</v>
      </c>
      <c r="I90" s="130" t="s">
        <v>65</v>
      </c>
    </row>
    <row r="91" spans="1:12" ht="26.25" customHeight="1" x14ac:dyDescent="0.4">
      <c r="A91" s="124" t="s">
        <v>66</v>
      </c>
      <c r="B91" s="125">
        <v>1</v>
      </c>
      <c r="C91" s="206">
        <v>1</v>
      </c>
      <c r="D91" s="132">
        <v>5389166</v>
      </c>
      <c r="E91" s="133">
        <f>IF(ISBLANK(D91),"-",$D$101/$D$98*D91)</f>
        <v>5404227.5822717911</v>
      </c>
      <c r="F91" s="132">
        <v>5235567</v>
      </c>
      <c r="G91" s="134">
        <f>IF(ISBLANK(F91),"-",$D$101/$F$98*F91)</f>
        <v>5389870.3647502149</v>
      </c>
      <c r="I91" s="135"/>
    </row>
    <row r="92" spans="1:12" ht="26.25" customHeight="1" x14ac:dyDescent="0.4">
      <c r="A92" s="124" t="s">
        <v>67</v>
      </c>
      <c r="B92" s="125">
        <v>1</v>
      </c>
      <c r="C92" s="191">
        <v>2</v>
      </c>
      <c r="D92" s="137">
        <v>5383063</v>
      </c>
      <c r="E92" s="138">
        <f>IF(ISBLANK(D92),"-",$D$101/$D$98*D92)</f>
        <v>5398107.5256740535</v>
      </c>
      <c r="F92" s="137">
        <v>5233320</v>
      </c>
      <c r="G92" s="139">
        <f>IF(ISBLANK(F92),"-",$D$101/$F$98*F92)</f>
        <v>5387557.1408511428</v>
      </c>
      <c r="I92" s="509">
        <f>ABS((F96/D96*D95)-F95)/D95</f>
        <v>7.9348399019443609E-4</v>
      </c>
    </row>
    <row r="93" spans="1:12" ht="26.25" customHeight="1" x14ac:dyDescent="0.4">
      <c r="A93" s="124" t="s">
        <v>68</v>
      </c>
      <c r="B93" s="125">
        <v>1</v>
      </c>
      <c r="C93" s="191">
        <v>3</v>
      </c>
      <c r="D93" s="137">
        <v>5385606</v>
      </c>
      <c r="E93" s="138">
        <f>IF(ISBLANK(D93),"-",$D$101/$D$98*D93)</f>
        <v>5400657.6328226766</v>
      </c>
      <c r="F93" s="137">
        <v>5257419</v>
      </c>
      <c r="G93" s="139">
        <f>IF(ISBLANK(F93),"-",$D$101/$F$98*F93)</f>
        <v>5412366.389958282</v>
      </c>
      <c r="I93" s="509"/>
    </row>
    <row r="94" spans="1:12" ht="27" customHeight="1" x14ac:dyDescent="0.4">
      <c r="A94" s="124" t="s">
        <v>69</v>
      </c>
      <c r="B94" s="125">
        <v>1</v>
      </c>
      <c r="C94" s="207">
        <v>4</v>
      </c>
      <c r="D94" s="142"/>
      <c r="E94" s="143" t="str">
        <f>IF(ISBLANK(D94),"-",$D$101/$D$98*D94)</f>
        <v>-</v>
      </c>
      <c r="F94" s="208"/>
      <c r="G94" s="144" t="str">
        <f>IF(ISBLANK(F94),"-",$D$101/$F$98*F94)</f>
        <v>-</v>
      </c>
      <c r="I94" s="145"/>
    </row>
    <row r="95" spans="1:12" ht="27" customHeight="1" x14ac:dyDescent="0.4">
      <c r="A95" s="124" t="s">
        <v>70</v>
      </c>
      <c r="B95" s="125">
        <v>1</v>
      </c>
      <c r="C95" s="209" t="s">
        <v>71</v>
      </c>
      <c r="D95" s="210">
        <f>AVERAGE(D91:D94)</f>
        <v>5385945</v>
      </c>
      <c r="E95" s="148">
        <f>AVERAGE(E91:E94)</f>
        <v>5400997.5802561743</v>
      </c>
      <c r="F95" s="211">
        <f>AVERAGE(F91:F94)</f>
        <v>5242102</v>
      </c>
      <c r="G95" s="212">
        <f>AVERAGE(G91:G94)</f>
        <v>5396597.9651865466</v>
      </c>
    </row>
    <row r="96" spans="1:12" ht="26.25" customHeight="1" x14ac:dyDescent="0.4">
      <c r="A96" s="124" t="s">
        <v>72</v>
      </c>
      <c r="B96" s="110">
        <v>1</v>
      </c>
      <c r="C96" s="213" t="s">
        <v>113</v>
      </c>
      <c r="D96" s="214">
        <v>15.05</v>
      </c>
      <c r="E96" s="140"/>
      <c r="F96" s="152">
        <v>14.66</v>
      </c>
    </row>
    <row r="97" spans="1:10" ht="26.25" customHeight="1" x14ac:dyDescent="0.4">
      <c r="A97" s="124" t="s">
        <v>74</v>
      </c>
      <c r="B97" s="110">
        <v>1</v>
      </c>
      <c r="C97" s="215" t="s">
        <v>114</v>
      </c>
      <c r="D97" s="216">
        <f>D96*$B$87</f>
        <v>15.05</v>
      </c>
      <c r="E97" s="155"/>
      <c r="F97" s="154">
        <f>F96*$B$87</f>
        <v>14.66</v>
      </c>
    </row>
    <row r="98" spans="1:10" ht="19.5" customHeight="1" x14ac:dyDescent="0.3">
      <c r="A98" s="124" t="s">
        <v>76</v>
      </c>
      <c r="B98" s="217">
        <f>(B97/B96)*(B95/B94)*(B93/B92)*(B91/B90)*B89</f>
        <v>50</v>
      </c>
      <c r="C98" s="215" t="s">
        <v>115</v>
      </c>
      <c r="D98" s="218">
        <f>D97*$B$83/100</f>
        <v>14.958195</v>
      </c>
      <c r="E98" s="158"/>
      <c r="F98" s="157">
        <f>F97*$B$83/100</f>
        <v>14.570573999999999</v>
      </c>
    </row>
    <row r="99" spans="1:10" ht="19.5" customHeight="1" x14ac:dyDescent="0.3">
      <c r="A99" s="510" t="s">
        <v>78</v>
      </c>
      <c r="B99" s="524"/>
      <c r="C99" s="215" t="s">
        <v>116</v>
      </c>
      <c r="D99" s="219">
        <f>D98/$B$98</f>
        <v>0.29916389999999998</v>
      </c>
      <c r="E99" s="158"/>
      <c r="F99" s="161">
        <f>F98/$B$98</f>
        <v>0.29141148</v>
      </c>
      <c r="G99" s="220"/>
      <c r="H99" s="150"/>
    </row>
    <row r="100" spans="1:10" ht="19.5" customHeight="1" x14ac:dyDescent="0.3">
      <c r="A100" s="512"/>
      <c r="B100" s="525"/>
      <c r="C100" s="215" t="s">
        <v>80</v>
      </c>
      <c r="D100" s="221">
        <f>$B$56/$B$116</f>
        <v>0.3</v>
      </c>
      <c r="F100" s="166"/>
      <c r="G100" s="222"/>
      <c r="H100" s="150"/>
    </row>
    <row r="101" spans="1:10" ht="18.75" x14ac:dyDescent="0.3">
      <c r="C101" s="215" t="s">
        <v>81</v>
      </c>
      <c r="D101" s="216">
        <f>D100*$B$98</f>
        <v>15</v>
      </c>
      <c r="F101" s="166"/>
      <c r="G101" s="220"/>
      <c r="H101" s="150"/>
    </row>
    <row r="102" spans="1:10" ht="19.5" customHeight="1" x14ac:dyDescent="0.3">
      <c r="C102" s="223" t="s">
        <v>82</v>
      </c>
      <c r="D102" s="224">
        <f>D101/B34</f>
        <v>15</v>
      </c>
      <c r="F102" s="170"/>
      <c r="G102" s="220"/>
      <c r="H102" s="150"/>
      <c r="J102" s="225"/>
    </row>
    <row r="103" spans="1:10" ht="18.75" x14ac:dyDescent="0.3">
      <c r="C103" s="226" t="s">
        <v>117</v>
      </c>
      <c r="D103" s="227">
        <f>AVERAGE(E91:E94,G91:G94)</f>
        <v>5398797.7727213604</v>
      </c>
      <c r="F103" s="170"/>
      <c r="G103" s="228"/>
      <c r="H103" s="150"/>
      <c r="J103" s="229"/>
    </row>
    <row r="104" spans="1:10" ht="18.75" x14ac:dyDescent="0.3">
      <c r="C104" s="193" t="s">
        <v>84</v>
      </c>
      <c r="D104" s="230">
        <f>STDEV(E91:E94,G91:G94)/D103</f>
        <v>1.7048402257246978E-3</v>
      </c>
      <c r="F104" s="170"/>
      <c r="G104" s="220"/>
      <c r="H104" s="150"/>
      <c r="J104" s="229"/>
    </row>
    <row r="105" spans="1:10" ht="19.5" customHeight="1" x14ac:dyDescent="0.3">
      <c r="C105" s="195" t="s">
        <v>20</v>
      </c>
      <c r="D105" s="231">
        <f>COUNT(E91:E94,G91:G94)</f>
        <v>6</v>
      </c>
      <c r="F105" s="170"/>
      <c r="G105" s="220"/>
      <c r="H105" s="150"/>
      <c r="J105" s="229"/>
    </row>
    <row r="106" spans="1:10" ht="19.5" customHeight="1" x14ac:dyDescent="0.3">
      <c r="A106" s="174"/>
      <c r="B106" s="174"/>
      <c r="C106" s="174"/>
      <c r="D106" s="174"/>
      <c r="E106" s="174"/>
    </row>
    <row r="107" spans="1:10" ht="27" customHeight="1" x14ac:dyDescent="0.4">
      <c r="A107" s="122" t="s">
        <v>118</v>
      </c>
      <c r="B107" s="123">
        <v>1000</v>
      </c>
      <c r="C107" s="270" t="s">
        <v>119</v>
      </c>
      <c r="D107" s="270" t="s">
        <v>63</v>
      </c>
      <c r="E107" s="270" t="s">
        <v>120</v>
      </c>
      <c r="F107" s="232" t="s">
        <v>121</v>
      </c>
    </row>
    <row r="108" spans="1:10" ht="26.25" customHeight="1" x14ac:dyDescent="0.4">
      <c r="A108" s="124" t="s">
        <v>122</v>
      </c>
      <c r="B108" s="125">
        <v>1</v>
      </c>
      <c r="C108" s="275">
        <v>1</v>
      </c>
      <c r="D108" s="276">
        <v>5468751</v>
      </c>
      <c r="E108" s="250">
        <f t="shared" ref="E108:E113" si="1">IF(ISBLANK(D108),"-",D108/$D$103*$D$100*$B$116)</f>
        <v>303.88715582006569</v>
      </c>
      <c r="F108" s="277">
        <f t="shared" ref="F108:F113" si="2">IF(ISBLANK(D108), "-", (E108/$B$56)*100)</f>
        <v>101.29571860668855</v>
      </c>
    </row>
    <row r="109" spans="1:10" ht="26.25" customHeight="1" x14ac:dyDescent="0.4">
      <c r="A109" s="124" t="s">
        <v>95</v>
      </c>
      <c r="B109" s="125">
        <v>1</v>
      </c>
      <c r="C109" s="271">
        <v>2</v>
      </c>
      <c r="D109" s="273">
        <v>5441017</v>
      </c>
      <c r="E109" s="251">
        <f t="shared" si="1"/>
        <v>302.34603493533109</v>
      </c>
      <c r="F109" s="278">
        <f t="shared" si="2"/>
        <v>100.78201164511036</v>
      </c>
    </row>
    <row r="110" spans="1:10" ht="26.25" customHeight="1" x14ac:dyDescent="0.4">
      <c r="A110" s="124" t="s">
        <v>96</v>
      </c>
      <c r="B110" s="125">
        <v>1</v>
      </c>
      <c r="C110" s="271">
        <v>3</v>
      </c>
      <c r="D110" s="273">
        <v>5462003</v>
      </c>
      <c r="E110" s="251">
        <f t="shared" si="1"/>
        <v>303.51218344932261</v>
      </c>
      <c r="F110" s="278">
        <f t="shared" si="2"/>
        <v>101.17072781644087</v>
      </c>
    </row>
    <row r="111" spans="1:10" ht="26.25" customHeight="1" x14ac:dyDescent="0.4">
      <c r="A111" s="124" t="s">
        <v>97</v>
      </c>
      <c r="B111" s="125">
        <v>1</v>
      </c>
      <c r="C111" s="271">
        <v>4</v>
      </c>
      <c r="D111" s="273">
        <v>5455173</v>
      </c>
      <c r="E111" s="251">
        <f t="shared" si="1"/>
        <v>303.13265450857347</v>
      </c>
      <c r="F111" s="278">
        <f t="shared" si="2"/>
        <v>101.0442181695245</v>
      </c>
    </row>
    <row r="112" spans="1:10" ht="26.25" customHeight="1" x14ac:dyDescent="0.4">
      <c r="A112" s="124" t="s">
        <v>98</v>
      </c>
      <c r="B112" s="125">
        <v>1</v>
      </c>
      <c r="C112" s="271">
        <v>5</v>
      </c>
      <c r="D112" s="273">
        <v>5477961</v>
      </c>
      <c r="E112" s="251">
        <f t="shared" si="1"/>
        <v>304.39893642684467</v>
      </c>
      <c r="F112" s="278">
        <f t="shared" si="2"/>
        <v>101.46631214228157</v>
      </c>
    </row>
    <row r="113" spans="1:10" ht="27" customHeight="1" x14ac:dyDescent="0.4">
      <c r="A113" s="124" t="s">
        <v>100</v>
      </c>
      <c r="B113" s="125">
        <v>1</v>
      </c>
      <c r="C113" s="272">
        <v>6</v>
      </c>
      <c r="D113" s="274">
        <v>5495295</v>
      </c>
      <c r="E113" s="252">
        <f t="shared" si="1"/>
        <v>305.36215087178556</v>
      </c>
      <c r="F113" s="279">
        <f t="shared" si="2"/>
        <v>101.78738362392852</v>
      </c>
    </row>
    <row r="114" spans="1:10" ht="27" customHeight="1" x14ac:dyDescent="0.4">
      <c r="A114" s="124" t="s">
        <v>101</v>
      </c>
      <c r="B114" s="125">
        <v>1</v>
      </c>
      <c r="C114" s="233"/>
      <c r="D114" s="191"/>
      <c r="E114" s="98"/>
      <c r="F114" s="280"/>
    </row>
    <row r="115" spans="1:10" ht="26.25" customHeight="1" x14ac:dyDescent="0.4">
      <c r="A115" s="124" t="s">
        <v>102</v>
      </c>
      <c r="B115" s="125">
        <v>1</v>
      </c>
      <c r="C115" s="233"/>
      <c r="D115" s="257" t="s">
        <v>71</v>
      </c>
      <c r="E115" s="259">
        <f>AVERAGE(E108:E113)</f>
        <v>303.7731860019872</v>
      </c>
      <c r="F115" s="281">
        <f>AVERAGE(F108:F113)</f>
        <v>101.25772866732909</v>
      </c>
    </row>
    <row r="116" spans="1:10" ht="27" customHeight="1" x14ac:dyDescent="0.4">
      <c r="A116" s="124" t="s">
        <v>103</v>
      </c>
      <c r="B116" s="156">
        <f>(B115/B114)*(B113/B112)*(B111/B110)*(B109/B108)*B107</f>
        <v>1000</v>
      </c>
      <c r="C116" s="234"/>
      <c r="D116" s="258" t="s">
        <v>84</v>
      </c>
      <c r="E116" s="256">
        <f>STDEV(E108:E113)/E115</f>
        <v>3.4351488975951296E-3</v>
      </c>
      <c r="F116" s="235">
        <f>STDEV(F108:F113)/F115</f>
        <v>3.435148897595137E-3</v>
      </c>
      <c r="I116" s="98"/>
    </row>
    <row r="117" spans="1:10" ht="27" customHeight="1" x14ac:dyDescent="0.4">
      <c r="A117" s="510" t="s">
        <v>78</v>
      </c>
      <c r="B117" s="511"/>
      <c r="C117" s="236"/>
      <c r="D117" s="195" t="s">
        <v>20</v>
      </c>
      <c r="E117" s="261">
        <f>COUNT(E108:E113)</f>
        <v>6</v>
      </c>
      <c r="F117" s="262">
        <f>COUNT(F108:F113)</f>
        <v>6</v>
      </c>
      <c r="I117" s="98"/>
      <c r="J117" s="229"/>
    </row>
    <row r="118" spans="1:10" ht="26.25" customHeight="1" x14ac:dyDescent="0.3">
      <c r="A118" s="512"/>
      <c r="B118" s="513"/>
      <c r="C118" s="98"/>
      <c r="D118" s="260"/>
      <c r="E118" s="490" t="s">
        <v>123</v>
      </c>
      <c r="F118" s="491"/>
      <c r="G118" s="98"/>
      <c r="H118" s="98"/>
      <c r="I118" s="98"/>
    </row>
    <row r="119" spans="1:10" ht="25.5" customHeight="1" x14ac:dyDescent="0.4">
      <c r="A119" s="245"/>
      <c r="B119" s="120"/>
      <c r="C119" s="98"/>
      <c r="D119" s="258" t="s">
        <v>124</v>
      </c>
      <c r="E119" s="263">
        <f>MIN(E108:E113)</f>
        <v>302.34603493533109</v>
      </c>
      <c r="F119" s="282">
        <f>MIN(F108:F113)</f>
        <v>100.78201164511036</v>
      </c>
      <c r="G119" s="98"/>
      <c r="H119" s="98"/>
      <c r="I119" s="98"/>
    </row>
    <row r="120" spans="1:10" ht="24" customHeight="1" x14ac:dyDescent="0.4">
      <c r="A120" s="245"/>
      <c r="B120" s="120"/>
      <c r="C120" s="98"/>
      <c r="D120" s="167" t="s">
        <v>125</v>
      </c>
      <c r="E120" s="264">
        <f>MAX(E108:E113)</f>
        <v>305.36215087178556</v>
      </c>
      <c r="F120" s="283">
        <f>MAX(F108:F113)</f>
        <v>101.78738362392852</v>
      </c>
      <c r="G120" s="98"/>
      <c r="H120" s="98"/>
      <c r="I120" s="98"/>
    </row>
    <row r="121" spans="1:10" ht="27" customHeight="1" x14ac:dyDescent="0.3">
      <c r="A121" s="245"/>
      <c r="B121" s="120"/>
      <c r="C121" s="98"/>
      <c r="D121" s="98"/>
      <c r="E121" s="98"/>
      <c r="F121" s="191"/>
      <c r="G121" s="98"/>
      <c r="H121" s="98"/>
      <c r="I121" s="98"/>
    </row>
    <row r="122" spans="1:10" ht="25.5" customHeight="1" x14ac:dyDescent="0.3">
      <c r="A122" s="245"/>
      <c r="B122" s="120"/>
      <c r="C122" s="98"/>
      <c r="D122" s="98"/>
      <c r="E122" s="98"/>
      <c r="F122" s="191"/>
      <c r="G122" s="98"/>
      <c r="H122" s="98"/>
      <c r="I122" s="98"/>
    </row>
    <row r="123" spans="1:10" ht="18.75" x14ac:dyDescent="0.3">
      <c r="A123" s="245"/>
      <c r="B123" s="120"/>
      <c r="C123" s="98"/>
      <c r="D123" s="98"/>
      <c r="E123" s="98"/>
      <c r="F123" s="191"/>
      <c r="G123" s="98"/>
      <c r="H123" s="98"/>
      <c r="I123" s="98"/>
    </row>
    <row r="124" spans="1:10" ht="45.75" customHeight="1" x14ac:dyDescent="0.65">
      <c r="A124" s="108" t="s">
        <v>106</v>
      </c>
      <c r="B124" s="197" t="s">
        <v>126</v>
      </c>
      <c r="C124" s="522" t="str">
        <f>B26</f>
        <v>LAMIVUDINE</v>
      </c>
      <c r="D124" s="522"/>
      <c r="E124" s="198" t="s">
        <v>127</v>
      </c>
      <c r="F124" s="198"/>
      <c r="G124" s="284">
        <f>F115</f>
        <v>101.25772866732909</v>
      </c>
      <c r="H124" s="98"/>
      <c r="I124" s="98"/>
    </row>
    <row r="125" spans="1:10" ht="45.75" customHeight="1" x14ac:dyDescent="0.65">
      <c r="A125" s="108"/>
      <c r="B125" s="197" t="s">
        <v>128</v>
      </c>
      <c r="C125" s="109" t="s">
        <v>129</v>
      </c>
      <c r="D125" s="284">
        <f>MIN(F108:F113)</f>
        <v>100.78201164511036</v>
      </c>
      <c r="E125" s="209" t="s">
        <v>130</v>
      </c>
      <c r="F125" s="284">
        <f>MAX(F108:F113)</f>
        <v>101.78738362392852</v>
      </c>
      <c r="G125" s="199"/>
      <c r="H125" s="98"/>
      <c r="I125" s="98"/>
    </row>
    <row r="126" spans="1:10" ht="19.5" customHeight="1" x14ac:dyDescent="0.3">
      <c r="A126" s="237"/>
      <c r="B126" s="237"/>
      <c r="C126" s="238"/>
      <c r="D126" s="238"/>
      <c r="E126" s="238"/>
      <c r="F126" s="238"/>
      <c r="G126" s="238"/>
      <c r="H126" s="238"/>
    </row>
    <row r="127" spans="1:10" ht="18.75" x14ac:dyDescent="0.3">
      <c r="B127" s="523" t="s">
        <v>26</v>
      </c>
      <c r="C127" s="523"/>
      <c r="E127" s="204" t="s">
        <v>27</v>
      </c>
      <c r="F127" s="239"/>
      <c r="G127" s="523" t="s">
        <v>28</v>
      </c>
      <c r="H127" s="523"/>
    </row>
    <row r="128" spans="1:10" ht="69.95" customHeight="1" x14ac:dyDescent="0.3">
      <c r="A128" s="240" t="s">
        <v>29</v>
      </c>
      <c r="B128" s="241"/>
      <c r="C128" s="241"/>
      <c r="E128" s="241"/>
      <c r="F128" s="98"/>
      <c r="G128" s="242"/>
      <c r="H128" s="242"/>
    </row>
    <row r="129" spans="1:9" ht="69.95" customHeight="1" x14ac:dyDescent="0.3">
      <c r="A129" s="240" t="s">
        <v>30</v>
      </c>
      <c r="B129" s="243"/>
      <c r="C129" s="243"/>
      <c r="E129" s="243"/>
      <c r="F129" s="98"/>
      <c r="G129" s="244"/>
      <c r="H129" s="244"/>
    </row>
    <row r="130" spans="1:9" ht="18.75" x14ac:dyDescent="0.3">
      <c r="A130" s="190"/>
      <c r="B130" s="190"/>
      <c r="C130" s="191"/>
      <c r="D130" s="191"/>
      <c r="E130" s="191"/>
      <c r="F130" s="194"/>
      <c r="G130" s="191"/>
      <c r="H130" s="191"/>
      <c r="I130" s="98"/>
    </row>
    <row r="131" spans="1:9" ht="18.75" x14ac:dyDescent="0.3">
      <c r="A131" s="190"/>
      <c r="B131" s="190"/>
      <c r="C131" s="191"/>
      <c r="D131" s="191"/>
      <c r="E131" s="191"/>
      <c r="F131" s="194"/>
      <c r="G131" s="191"/>
      <c r="H131" s="191"/>
      <c r="I131" s="98"/>
    </row>
    <row r="132" spans="1:9" ht="18.75" x14ac:dyDescent="0.3">
      <c r="A132" s="190"/>
      <c r="B132" s="190"/>
      <c r="C132" s="191"/>
      <c r="D132" s="191"/>
      <c r="E132" s="191"/>
      <c r="F132" s="194"/>
      <c r="G132" s="191"/>
      <c r="H132" s="191"/>
      <c r="I132" s="98"/>
    </row>
    <row r="133" spans="1:9" ht="18.75" x14ac:dyDescent="0.3">
      <c r="A133" s="190"/>
      <c r="B133" s="190"/>
      <c r="C133" s="191"/>
      <c r="D133" s="191"/>
      <c r="E133" s="191"/>
      <c r="F133" s="194"/>
      <c r="G133" s="191"/>
      <c r="H133" s="191"/>
      <c r="I133" s="98"/>
    </row>
    <row r="134" spans="1:9" ht="18.75" x14ac:dyDescent="0.3">
      <c r="A134" s="190"/>
      <c r="B134" s="190"/>
      <c r="C134" s="191"/>
      <c r="D134" s="191"/>
      <c r="E134" s="191"/>
      <c r="F134" s="194"/>
      <c r="G134" s="191"/>
      <c r="H134" s="191"/>
      <c r="I134" s="98"/>
    </row>
    <row r="135" spans="1:9" ht="18.75" x14ac:dyDescent="0.3">
      <c r="A135" s="190"/>
      <c r="B135" s="190"/>
      <c r="C135" s="191"/>
      <c r="D135" s="191"/>
      <c r="E135" s="191"/>
      <c r="F135" s="194"/>
      <c r="G135" s="191"/>
      <c r="H135" s="191"/>
      <c r="I135" s="98"/>
    </row>
    <row r="136" spans="1:9" ht="18.75" x14ac:dyDescent="0.3">
      <c r="A136" s="190"/>
      <c r="B136" s="190"/>
      <c r="C136" s="191"/>
      <c r="D136" s="191"/>
      <c r="E136" s="191"/>
      <c r="F136" s="194"/>
      <c r="G136" s="191"/>
      <c r="H136" s="191"/>
      <c r="I136" s="98"/>
    </row>
    <row r="137" spans="1:9" ht="18.75" x14ac:dyDescent="0.3">
      <c r="A137" s="190"/>
      <c r="B137" s="190"/>
      <c r="C137" s="191"/>
      <c r="D137" s="191"/>
      <c r="E137" s="191"/>
      <c r="F137" s="194"/>
      <c r="G137" s="191"/>
      <c r="H137" s="191"/>
      <c r="I137" s="98"/>
    </row>
    <row r="138" spans="1:9" ht="18.75" x14ac:dyDescent="0.3">
      <c r="A138" s="190"/>
      <c r="B138" s="190"/>
      <c r="C138" s="191"/>
      <c r="D138" s="191"/>
      <c r="E138" s="191"/>
      <c r="F138" s="194"/>
      <c r="G138" s="191"/>
      <c r="H138" s="191"/>
      <c r="I138" s="98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I39:I40"/>
    <mergeCell ref="A46:B47"/>
    <mergeCell ref="C60:C63"/>
    <mergeCell ref="D60:D63"/>
    <mergeCell ref="C64:C67"/>
    <mergeCell ref="D64:D67"/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</mergeCells>
  <conditionalFormatting sqref="E51">
    <cfRule type="cellIs" dxfId="26" priority="1" operator="greaterThan">
      <formula>0.02</formula>
    </cfRule>
  </conditionalFormatting>
  <conditionalFormatting sqref="D51">
    <cfRule type="cellIs" dxfId="25" priority="2" operator="greaterThan">
      <formula>0.02</formula>
    </cfRule>
  </conditionalFormatting>
  <conditionalFormatting sqref="G73">
    <cfRule type="cellIs" dxfId="24" priority="3" operator="greaterThan">
      <formula>0.02</formula>
    </cfRule>
  </conditionalFormatting>
  <conditionalFormatting sqref="H73">
    <cfRule type="cellIs" dxfId="23" priority="4" operator="greaterThan">
      <formula>0.02</formula>
    </cfRule>
  </conditionalFormatting>
  <conditionalFormatting sqref="D104">
    <cfRule type="cellIs" dxfId="22" priority="5" operator="greaterThan">
      <formula>0.02</formula>
    </cfRule>
  </conditionalFormatting>
  <conditionalFormatting sqref="I39">
    <cfRule type="cellIs" dxfId="21" priority="6" operator="lessThanOrEqual">
      <formula>0.02</formula>
    </cfRule>
  </conditionalFormatting>
  <conditionalFormatting sqref="I39">
    <cfRule type="cellIs" dxfId="20" priority="7" operator="greaterThan">
      <formula>0.02</formula>
    </cfRule>
  </conditionalFormatting>
  <conditionalFormatting sqref="I92">
    <cfRule type="cellIs" dxfId="19" priority="8" operator="lessThanOrEqual">
      <formula>0.02</formula>
    </cfRule>
  </conditionalFormatting>
  <conditionalFormatting sqref="I92">
    <cfRule type="cellIs" dxfId="18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A64" zoomScale="47" zoomScaleNormal="40" zoomScalePageLayoutView="47" workbookViewId="0">
      <selection activeCell="A74" sqref="A74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520" t="s">
        <v>45</v>
      </c>
      <c r="B1" s="520"/>
      <c r="C1" s="520"/>
      <c r="D1" s="520"/>
      <c r="E1" s="520"/>
      <c r="F1" s="520"/>
      <c r="G1" s="520"/>
      <c r="H1" s="520"/>
      <c r="I1" s="520"/>
    </row>
    <row r="2" spans="1:9" ht="18.75" customHeight="1" x14ac:dyDescent="0.25">
      <c r="A2" s="520"/>
      <c r="B2" s="520"/>
      <c r="C2" s="520"/>
      <c r="D2" s="520"/>
      <c r="E2" s="520"/>
      <c r="F2" s="520"/>
      <c r="G2" s="520"/>
      <c r="H2" s="520"/>
      <c r="I2" s="520"/>
    </row>
    <row r="3" spans="1:9" ht="18.75" customHeight="1" x14ac:dyDescent="0.25">
      <c r="A3" s="520"/>
      <c r="B3" s="520"/>
      <c r="C3" s="520"/>
      <c r="D3" s="520"/>
      <c r="E3" s="520"/>
      <c r="F3" s="520"/>
      <c r="G3" s="520"/>
      <c r="H3" s="520"/>
      <c r="I3" s="520"/>
    </row>
    <row r="4" spans="1:9" ht="18.75" customHeight="1" x14ac:dyDescent="0.25">
      <c r="A4" s="520"/>
      <c r="B4" s="520"/>
      <c r="C4" s="520"/>
      <c r="D4" s="520"/>
      <c r="E4" s="520"/>
      <c r="F4" s="520"/>
      <c r="G4" s="520"/>
      <c r="H4" s="520"/>
      <c r="I4" s="520"/>
    </row>
    <row r="5" spans="1:9" ht="18.75" customHeight="1" x14ac:dyDescent="0.25">
      <c r="A5" s="520"/>
      <c r="B5" s="520"/>
      <c r="C5" s="520"/>
      <c r="D5" s="520"/>
      <c r="E5" s="520"/>
      <c r="F5" s="520"/>
      <c r="G5" s="520"/>
      <c r="H5" s="520"/>
      <c r="I5" s="520"/>
    </row>
    <row r="6" spans="1:9" ht="18.75" customHeight="1" x14ac:dyDescent="0.25">
      <c r="A6" s="520"/>
      <c r="B6" s="520"/>
      <c r="C6" s="520"/>
      <c r="D6" s="520"/>
      <c r="E6" s="520"/>
      <c r="F6" s="520"/>
      <c r="G6" s="520"/>
      <c r="H6" s="520"/>
      <c r="I6" s="520"/>
    </row>
    <row r="7" spans="1:9" ht="18.75" customHeight="1" x14ac:dyDescent="0.25">
      <c r="A7" s="520"/>
      <c r="B7" s="520"/>
      <c r="C7" s="520"/>
      <c r="D7" s="520"/>
      <c r="E7" s="520"/>
      <c r="F7" s="520"/>
      <c r="G7" s="520"/>
      <c r="H7" s="520"/>
      <c r="I7" s="520"/>
    </row>
    <row r="8" spans="1:9" x14ac:dyDescent="0.25">
      <c r="A8" s="521" t="s">
        <v>46</v>
      </c>
      <c r="B8" s="521"/>
      <c r="C8" s="521"/>
      <c r="D8" s="521"/>
      <c r="E8" s="521"/>
      <c r="F8" s="521"/>
      <c r="G8" s="521"/>
      <c r="H8" s="521"/>
      <c r="I8" s="521"/>
    </row>
    <row r="9" spans="1:9" x14ac:dyDescent="0.25">
      <c r="A9" s="521"/>
      <c r="B9" s="521"/>
      <c r="C9" s="521"/>
      <c r="D9" s="521"/>
      <c r="E9" s="521"/>
      <c r="F9" s="521"/>
      <c r="G9" s="521"/>
      <c r="H9" s="521"/>
      <c r="I9" s="521"/>
    </row>
    <row r="10" spans="1:9" x14ac:dyDescent="0.25">
      <c r="A10" s="521"/>
      <c r="B10" s="521"/>
      <c r="C10" s="521"/>
      <c r="D10" s="521"/>
      <c r="E10" s="521"/>
      <c r="F10" s="521"/>
      <c r="G10" s="521"/>
      <c r="H10" s="521"/>
      <c r="I10" s="521"/>
    </row>
    <row r="11" spans="1:9" x14ac:dyDescent="0.25">
      <c r="A11" s="521"/>
      <c r="B11" s="521"/>
      <c r="C11" s="521"/>
      <c r="D11" s="521"/>
      <c r="E11" s="521"/>
      <c r="F11" s="521"/>
      <c r="G11" s="521"/>
      <c r="H11" s="521"/>
      <c r="I11" s="521"/>
    </row>
    <row r="12" spans="1:9" x14ac:dyDescent="0.25">
      <c r="A12" s="521"/>
      <c r="B12" s="521"/>
      <c r="C12" s="521"/>
      <c r="D12" s="521"/>
      <c r="E12" s="521"/>
      <c r="F12" s="521"/>
      <c r="G12" s="521"/>
      <c r="H12" s="521"/>
      <c r="I12" s="521"/>
    </row>
    <row r="13" spans="1:9" x14ac:dyDescent="0.25">
      <c r="A13" s="521"/>
      <c r="B13" s="521"/>
      <c r="C13" s="521"/>
      <c r="D13" s="521"/>
      <c r="E13" s="521"/>
      <c r="F13" s="521"/>
      <c r="G13" s="521"/>
      <c r="H13" s="521"/>
      <c r="I13" s="521"/>
    </row>
    <row r="14" spans="1:9" x14ac:dyDescent="0.25">
      <c r="A14" s="521"/>
      <c r="B14" s="521"/>
      <c r="C14" s="521"/>
      <c r="D14" s="521"/>
      <c r="E14" s="521"/>
      <c r="F14" s="521"/>
      <c r="G14" s="521"/>
      <c r="H14" s="521"/>
      <c r="I14" s="521"/>
    </row>
    <row r="15" spans="1:9" ht="19.5" customHeight="1" x14ac:dyDescent="0.3">
      <c r="A15" s="286"/>
    </row>
    <row r="16" spans="1:9" ht="19.5" customHeight="1" x14ac:dyDescent="0.3">
      <c r="A16" s="493" t="s">
        <v>31</v>
      </c>
      <c r="B16" s="494"/>
      <c r="C16" s="494"/>
      <c r="D16" s="494"/>
      <c r="E16" s="494"/>
      <c r="F16" s="494"/>
      <c r="G16" s="494"/>
      <c r="H16" s="495"/>
    </row>
    <row r="17" spans="1:14" ht="20.25" customHeight="1" x14ac:dyDescent="0.25">
      <c r="A17" s="496" t="s">
        <v>47</v>
      </c>
      <c r="B17" s="496"/>
      <c r="C17" s="496"/>
      <c r="D17" s="496"/>
      <c r="E17" s="496"/>
      <c r="F17" s="496"/>
      <c r="G17" s="496"/>
      <c r="H17" s="496"/>
    </row>
    <row r="18" spans="1:14" ht="26.25" customHeight="1" x14ac:dyDescent="0.4">
      <c r="A18" s="288" t="s">
        <v>33</v>
      </c>
      <c r="B18" s="492" t="s">
        <v>5</v>
      </c>
      <c r="C18" s="492"/>
      <c r="D18" s="434"/>
      <c r="E18" s="289"/>
      <c r="F18" s="290"/>
      <c r="G18" s="290"/>
      <c r="H18" s="290"/>
    </row>
    <row r="19" spans="1:14" ht="26.25" customHeight="1" x14ac:dyDescent="0.4">
      <c r="A19" s="288" t="s">
        <v>34</v>
      </c>
      <c r="B19" s="291" t="s">
        <v>7</v>
      </c>
      <c r="C19" s="443">
        <v>1</v>
      </c>
      <c r="D19" s="290"/>
      <c r="E19" s="290"/>
      <c r="F19" s="290"/>
      <c r="G19" s="290"/>
      <c r="H19" s="290"/>
    </row>
    <row r="20" spans="1:14" ht="26.25" customHeight="1" x14ac:dyDescent="0.4">
      <c r="A20" s="288" t="s">
        <v>35</v>
      </c>
      <c r="B20" s="497" t="s">
        <v>133</v>
      </c>
      <c r="C20" s="497"/>
      <c r="D20" s="290"/>
      <c r="E20" s="290"/>
      <c r="F20" s="290"/>
      <c r="G20" s="290"/>
      <c r="H20" s="290"/>
    </row>
    <row r="21" spans="1:14" ht="26.25" customHeight="1" x14ac:dyDescent="0.4">
      <c r="A21" s="288" t="s">
        <v>36</v>
      </c>
      <c r="B21" s="497" t="s">
        <v>11</v>
      </c>
      <c r="C21" s="497"/>
      <c r="D21" s="497"/>
      <c r="E21" s="497"/>
      <c r="F21" s="497"/>
      <c r="G21" s="497"/>
      <c r="H21" s="497"/>
      <c r="I21" s="292"/>
    </row>
    <row r="22" spans="1:14" ht="26.25" customHeight="1" x14ac:dyDescent="0.4">
      <c r="A22" s="288" t="s">
        <v>37</v>
      </c>
      <c r="B22" s="293">
        <v>43171</v>
      </c>
      <c r="C22" s="290"/>
      <c r="D22" s="290"/>
      <c r="E22" s="290"/>
      <c r="F22" s="290"/>
      <c r="G22" s="290"/>
      <c r="H22" s="290"/>
    </row>
    <row r="23" spans="1:14" ht="26.25" customHeight="1" x14ac:dyDescent="0.4">
      <c r="A23" s="288" t="s">
        <v>38</v>
      </c>
      <c r="B23" s="293">
        <v>43195</v>
      </c>
      <c r="C23" s="290"/>
      <c r="D23" s="290"/>
      <c r="E23" s="290"/>
      <c r="F23" s="290"/>
      <c r="G23" s="290"/>
      <c r="H23" s="290"/>
    </row>
    <row r="24" spans="1:14" ht="18.75" x14ac:dyDescent="0.3">
      <c r="A24" s="288"/>
      <c r="B24" s="294"/>
    </row>
    <row r="25" spans="1:14" ht="18.75" x14ac:dyDescent="0.3">
      <c r="A25" s="295" t="s">
        <v>1</v>
      </c>
      <c r="B25" s="294"/>
    </row>
    <row r="26" spans="1:14" ht="26.25" customHeight="1" x14ac:dyDescent="0.4">
      <c r="A26" s="296" t="s">
        <v>4</v>
      </c>
      <c r="B26" s="492" t="s">
        <v>134</v>
      </c>
      <c r="C26" s="492"/>
    </row>
    <row r="27" spans="1:14" ht="26.25" customHeight="1" x14ac:dyDescent="0.4">
      <c r="A27" s="297" t="s">
        <v>48</v>
      </c>
      <c r="B27" s="498" t="s">
        <v>135</v>
      </c>
      <c r="C27" s="498"/>
    </row>
    <row r="28" spans="1:14" ht="27" customHeight="1" x14ac:dyDescent="0.4">
      <c r="A28" s="297" t="s">
        <v>6</v>
      </c>
      <c r="B28" s="298">
        <v>99.54</v>
      </c>
    </row>
    <row r="29" spans="1:14" s="14" customFormat="1" ht="27" customHeight="1" x14ac:dyDescent="0.4">
      <c r="A29" s="297" t="s">
        <v>49</v>
      </c>
      <c r="B29" s="299">
        <v>0</v>
      </c>
      <c r="C29" s="499" t="s">
        <v>50</v>
      </c>
      <c r="D29" s="500"/>
      <c r="E29" s="500"/>
      <c r="F29" s="500"/>
      <c r="G29" s="501"/>
      <c r="I29" s="300"/>
      <c r="J29" s="300"/>
      <c r="K29" s="300"/>
      <c r="L29" s="300"/>
    </row>
    <row r="30" spans="1:14" s="14" customFormat="1" ht="19.5" customHeight="1" x14ac:dyDescent="0.3">
      <c r="A30" s="297" t="s">
        <v>51</v>
      </c>
      <c r="B30" s="301">
        <f>B28-B29</f>
        <v>99.54</v>
      </c>
      <c r="C30" s="302"/>
      <c r="D30" s="302"/>
      <c r="E30" s="302"/>
      <c r="F30" s="302"/>
      <c r="G30" s="303"/>
      <c r="I30" s="300"/>
      <c r="J30" s="300"/>
      <c r="K30" s="300"/>
      <c r="L30" s="300"/>
    </row>
    <row r="31" spans="1:14" s="14" customFormat="1" ht="27" customHeight="1" x14ac:dyDescent="0.4">
      <c r="A31" s="297" t="s">
        <v>52</v>
      </c>
      <c r="B31" s="304">
        <v>1</v>
      </c>
      <c r="C31" s="502" t="s">
        <v>53</v>
      </c>
      <c r="D31" s="503"/>
      <c r="E31" s="503"/>
      <c r="F31" s="503"/>
      <c r="G31" s="503"/>
      <c r="H31" s="504"/>
      <c r="I31" s="300"/>
      <c r="J31" s="300"/>
      <c r="K31" s="300"/>
      <c r="L31" s="300"/>
    </row>
    <row r="32" spans="1:14" s="14" customFormat="1" ht="27" customHeight="1" x14ac:dyDescent="0.4">
      <c r="A32" s="297" t="s">
        <v>54</v>
      </c>
      <c r="B32" s="304">
        <v>1</v>
      </c>
      <c r="C32" s="502" t="s">
        <v>55</v>
      </c>
      <c r="D32" s="503"/>
      <c r="E32" s="503"/>
      <c r="F32" s="503"/>
      <c r="G32" s="503"/>
      <c r="H32" s="504"/>
      <c r="I32" s="300"/>
      <c r="J32" s="300"/>
      <c r="K32" s="300"/>
      <c r="L32" s="305"/>
      <c r="M32" s="305"/>
      <c r="N32" s="306"/>
    </row>
    <row r="33" spans="1:14" s="14" customFormat="1" ht="17.25" customHeight="1" x14ac:dyDescent="0.3">
      <c r="A33" s="297"/>
      <c r="B33" s="307"/>
      <c r="C33" s="308"/>
      <c r="D33" s="308"/>
      <c r="E33" s="308"/>
      <c r="F33" s="308"/>
      <c r="G33" s="308"/>
      <c r="H33" s="308"/>
      <c r="I33" s="300"/>
      <c r="J33" s="300"/>
      <c r="K33" s="300"/>
      <c r="L33" s="305"/>
      <c r="M33" s="305"/>
      <c r="N33" s="306"/>
    </row>
    <row r="34" spans="1:14" s="14" customFormat="1" ht="18.75" x14ac:dyDescent="0.3">
      <c r="A34" s="297" t="s">
        <v>56</v>
      </c>
      <c r="B34" s="309">
        <f>B31/B32</f>
        <v>1</v>
      </c>
      <c r="C34" s="287" t="s">
        <v>57</v>
      </c>
      <c r="D34" s="287"/>
      <c r="E34" s="287"/>
      <c r="F34" s="287"/>
      <c r="G34" s="287"/>
      <c r="I34" s="300"/>
      <c r="J34" s="300"/>
      <c r="K34" s="300"/>
      <c r="L34" s="305"/>
      <c r="M34" s="305"/>
      <c r="N34" s="306"/>
    </row>
    <row r="35" spans="1:14" s="14" customFormat="1" ht="19.5" customHeight="1" x14ac:dyDescent="0.3">
      <c r="A35" s="297"/>
      <c r="B35" s="301"/>
      <c r="G35" s="287"/>
      <c r="I35" s="300"/>
      <c r="J35" s="300"/>
      <c r="K35" s="300"/>
      <c r="L35" s="305"/>
      <c r="M35" s="305"/>
      <c r="N35" s="306"/>
    </row>
    <row r="36" spans="1:14" s="14" customFormat="1" ht="27" customHeight="1" x14ac:dyDescent="0.4">
      <c r="A36" s="310" t="s">
        <v>58</v>
      </c>
      <c r="B36" s="311">
        <v>50</v>
      </c>
      <c r="C36" s="287"/>
      <c r="D36" s="505" t="s">
        <v>59</v>
      </c>
      <c r="E36" s="506"/>
      <c r="F36" s="505" t="s">
        <v>60</v>
      </c>
      <c r="G36" s="507"/>
      <c r="J36" s="300"/>
      <c r="K36" s="300"/>
      <c r="L36" s="305"/>
      <c r="M36" s="305"/>
      <c r="N36" s="306"/>
    </row>
    <row r="37" spans="1:14" s="14" customFormat="1" ht="27" customHeight="1" x14ac:dyDescent="0.4">
      <c r="A37" s="312" t="s">
        <v>61</v>
      </c>
      <c r="B37" s="313">
        <v>10</v>
      </c>
      <c r="C37" s="314" t="s">
        <v>62</v>
      </c>
      <c r="D37" s="315" t="s">
        <v>63</v>
      </c>
      <c r="E37" s="316" t="s">
        <v>64</v>
      </c>
      <c r="F37" s="315" t="s">
        <v>63</v>
      </c>
      <c r="G37" s="317" t="s">
        <v>64</v>
      </c>
      <c r="I37" s="318" t="s">
        <v>65</v>
      </c>
      <c r="J37" s="300"/>
      <c r="K37" s="300"/>
      <c r="L37" s="305"/>
      <c r="M37" s="305"/>
      <c r="N37" s="306"/>
    </row>
    <row r="38" spans="1:14" s="14" customFormat="1" ht="26.25" customHeight="1" x14ac:dyDescent="0.4">
      <c r="A38" s="312" t="s">
        <v>66</v>
      </c>
      <c r="B38" s="313">
        <v>25</v>
      </c>
      <c r="C38" s="319">
        <v>1</v>
      </c>
      <c r="D38" s="320">
        <v>9677820</v>
      </c>
      <c r="E38" s="321">
        <f>IF(ISBLANK(D38),"-",$D$48/$D$45*D38)</f>
        <v>9658155.9943954106</v>
      </c>
      <c r="F38" s="320">
        <v>10123531</v>
      </c>
      <c r="G38" s="322">
        <f>IF(ISBLANK(F38),"-",$D$48/$F$45*F38)</f>
        <v>9957879.6799481269</v>
      </c>
      <c r="I38" s="323"/>
      <c r="J38" s="300"/>
      <c r="K38" s="300"/>
      <c r="L38" s="305"/>
      <c r="M38" s="305"/>
      <c r="N38" s="306"/>
    </row>
    <row r="39" spans="1:14" s="14" customFormat="1" ht="26.25" customHeight="1" x14ac:dyDescent="0.4">
      <c r="A39" s="312" t="s">
        <v>67</v>
      </c>
      <c r="B39" s="313">
        <v>1</v>
      </c>
      <c r="C39" s="324">
        <v>2</v>
      </c>
      <c r="D39" s="325">
        <v>9799963</v>
      </c>
      <c r="E39" s="326">
        <f>IF(ISBLANK(D39),"-",$D$48/$D$45*D39)</f>
        <v>9780050.8165375292</v>
      </c>
      <c r="F39" s="325">
        <v>10108825</v>
      </c>
      <c r="G39" s="327">
        <f>IF(ISBLANK(F39),"-",$D$48/$F$45*F39)</f>
        <v>9943414.3142004125</v>
      </c>
      <c r="I39" s="509">
        <f>ABS((F43/D43*D42)-F42)/D42</f>
        <v>2.1991871309985277E-2</v>
      </c>
      <c r="J39" s="300"/>
      <c r="K39" s="300"/>
      <c r="L39" s="305"/>
      <c r="M39" s="305"/>
      <c r="N39" s="306"/>
    </row>
    <row r="40" spans="1:14" ht="26.25" customHeight="1" x14ac:dyDescent="0.4">
      <c r="A40" s="312" t="s">
        <v>68</v>
      </c>
      <c r="B40" s="313">
        <v>1</v>
      </c>
      <c r="C40" s="324">
        <v>3</v>
      </c>
      <c r="D40" s="325">
        <v>9804514</v>
      </c>
      <c r="E40" s="326">
        <f>IF(ISBLANK(D40),"-",$D$48/$D$45*D40)</f>
        <v>9784592.56952844</v>
      </c>
      <c r="F40" s="325">
        <v>10120543</v>
      </c>
      <c r="G40" s="327">
        <f>IF(ISBLANK(F40),"-",$D$48/$F$45*F40)</f>
        <v>9954940.5725869015</v>
      </c>
      <c r="I40" s="509"/>
      <c r="L40" s="305"/>
      <c r="M40" s="305"/>
      <c r="N40" s="328"/>
    </row>
    <row r="41" spans="1:14" ht="27" customHeight="1" x14ac:dyDescent="0.4">
      <c r="A41" s="312" t="s">
        <v>69</v>
      </c>
      <c r="B41" s="313">
        <v>1</v>
      </c>
      <c r="C41" s="329">
        <v>4</v>
      </c>
      <c r="D41" s="330"/>
      <c r="E41" s="331" t="str">
        <f>IF(ISBLANK(D41),"-",$D$48/$D$45*D41)</f>
        <v>-</v>
      </c>
      <c r="F41" s="330"/>
      <c r="G41" s="332" t="str">
        <f>IF(ISBLANK(F41),"-",$D$48/$F$45*F41)</f>
        <v>-</v>
      </c>
      <c r="I41" s="333"/>
      <c r="L41" s="305"/>
      <c r="M41" s="305"/>
      <c r="N41" s="328"/>
    </row>
    <row r="42" spans="1:14" ht="27" customHeight="1" x14ac:dyDescent="0.4">
      <c r="A42" s="312" t="s">
        <v>70</v>
      </c>
      <c r="B42" s="313">
        <v>1</v>
      </c>
      <c r="C42" s="334" t="s">
        <v>71</v>
      </c>
      <c r="D42" s="335">
        <f>AVERAGE(D38:D41)</f>
        <v>9760765.666666666</v>
      </c>
      <c r="E42" s="336">
        <f>AVERAGE(E38:E41)</f>
        <v>9740933.12682046</v>
      </c>
      <c r="F42" s="335">
        <f>AVERAGE(F38:F41)</f>
        <v>10117633</v>
      </c>
      <c r="G42" s="337">
        <f>AVERAGE(G38:G41)</f>
        <v>9952078.1889118124</v>
      </c>
      <c r="H42" s="338"/>
    </row>
    <row r="43" spans="1:14" ht="26.25" customHeight="1" x14ac:dyDescent="0.4">
      <c r="A43" s="312" t="s">
        <v>72</v>
      </c>
      <c r="B43" s="313">
        <v>1</v>
      </c>
      <c r="C43" s="339" t="s">
        <v>73</v>
      </c>
      <c r="D43" s="340">
        <v>15.1</v>
      </c>
      <c r="E43" s="328"/>
      <c r="F43" s="340">
        <v>15.32</v>
      </c>
      <c r="H43" s="338"/>
    </row>
    <row r="44" spans="1:14" ht="26.25" customHeight="1" x14ac:dyDescent="0.4">
      <c r="A44" s="312" t="s">
        <v>74</v>
      </c>
      <c r="B44" s="313">
        <v>1</v>
      </c>
      <c r="C44" s="341" t="s">
        <v>75</v>
      </c>
      <c r="D44" s="342">
        <f>D43*$B$34</f>
        <v>15.1</v>
      </c>
      <c r="E44" s="343"/>
      <c r="F44" s="342">
        <f>F43*$B$34</f>
        <v>15.32</v>
      </c>
      <c r="H44" s="338"/>
    </row>
    <row r="45" spans="1:14" ht="19.5" customHeight="1" x14ac:dyDescent="0.3">
      <c r="A45" s="312" t="s">
        <v>76</v>
      </c>
      <c r="B45" s="344">
        <f>(B44/B43)*(B42/B41)*(B40/B39)*(B38/B37)*B36</f>
        <v>125</v>
      </c>
      <c r="C45" s="341" t="s">
        <v>77</v>
      </c>
      <c r="D45" s="345">
        <f>D44*$B$30/100</f>
        <v>15.03054</v>
      </c>
      <c r="E45" s="346"/>
      <c r="F45" s="345">
        <f>F44*$B$30/100</f>
        <v>15.249528</v>
      </c>
      <c r="H45" s="338"/>
    </row>
    <row r="46" spans="1:14" ht="19.5" customHeight="1" x14ac:dyDescent="0.3">
      <c r="A46" s="510" t="s">
        <v>78</v>
      </c>
      <c r="B46" s="511"/>
      <c r="C46" s="341" t="s">
        <v>79</v>
      </c>
      <c r="D46" s="347">
        <f>D45/$B$45</f>
        <v>0.12024432</v>
      </c>
      <c r="E46" s="348"/>
      <c r="F46" s="349">
        <f>F45/$B$45</f>
        <v>0.121996224</v>
      </c>
      <c r="H46" s="338"/>
    </row>
    <row r="47" spans="1:14" ht="27" customHeight="1" x14ac:dyDescent="0.4">
      <c r="A47" s="512"/>
      <c r="B47" s="513"/>
      <c r="C47" s="350" t="s">
        <v>80</v>
      </c>
      <c r="D47" s="351">
        <v>0.12</v>
      </c>
      <c r="E47" s="352"/>
      <c r="F47" s="348"/>
      <c r="H47" s="338"/>
    </row>
    <row r="48" spans="1:14" ht="18.75" x14ac:dyDescent="0.3">
      <c r="C48" s="353" t="s">
        <v>81</v>
      </c>
      <c r="D48" s="345">
        <f>D47*$B$45</f>
        <v>15</v>
      </c>
      <c r="F48" s="354"/>
      <c r="H48" s="338"/>
    </row>
    <row r="49" spans="1:12" ht="19.5" customHeight="1" x14ac:dyDescent="0.3">
      <c r="C49" s="355" t="s">
        <v>82</v>
      </c>
      <c r="D49" s="356">
        <f>D48/B34</f>
        <v>15</v>
      </c>
      <c r="F49" s="354"/>
      <c r="H49" s="338"/>
    </row>
    <row r="50" spans="1:12" ht="18.75" x14ac:dyDescent="0.3">
      <c r="C50" s="310" t="s">
        <v>83</v>
      </c>
      <c r="D50" s="357">
        <f>AVERAGE(E38:E41,G38:G41)</f>
        <v>9846505.6578661371</v>
      </c>
      <c r="F50" s="358"/>
      <c r="H50" s="338"/>
    </row>
    <row r="51" spans="1:12" ht="18.75" x14ac:dyDescent="0.3">
      <c r="C51" s="312" t="s">
        <v>84</v>
      </c>
      <c r="D51" s="359">
        <f>STDEV(E38:E41,G38:G41)/D50</f>
        <v>1.2625909264155872E-2</v>
      </c>
      <c r="F51" s="358"/>
      <c r="H51" s="338"/>
    </row>
    <row r="52" spans="1:12" ht="19.5" customHeight="1" x14ac:dyDescent="0.3">
      <c r="C52" s="360" t="s">
        <v>20</v>
      </c>
      <c r="D52" s="361">
        <f>COUNT(E38:E41,G38:G41)</f>
        <v>6</v>
      </c>
      <c r="F52" s="358"/>
    </row>
    <row r="54" spans="1:12" ht="18.75" x14ac:dyDescent="0.3">
      <c r="A54" s="362" t="s">
        <v>1</v>
      </c>
      <c r="B54" s="363" t="s">
        <v>85</v>
      </c>
    </row>
    <row r="55" spans="1:12" ht="18.75" x14ac:dyDescent="0.3">
      <c r="A55" s="287" t="s">
        <v>86</v>
      </c>
      <c r="B55" s="364" t="str">
        <f>B21</f>
        <v>Each film-coated tablet contains: Efavirenz 600 mg, Lamivudine USP 300 mg and Tenofovir DisoproxilFumarate 300 mg equivalent to Tenofovir Disoproxil 245 mg.</v>
      </c>
    </row>
    <row r="56" spans="1:12" ht="26.25" customHeight="1" x14ac:dyDescent="0.4">
      <c r="A56" s="365" t="s">
        <v>87</v>
      </c>
      <c r="B56" s="366">
        <v>300</v>
      </c>
      <c r="C56" s="287" t="str">
        <f>B20</f>
        <v>TENOFOVIR</v>
      </c>
      <c r="H56" s="367"/>
    </row>
    <row r="57" spans="1:12" ht="18.75" x14ac:dyDescent="0.3">
      <c r="A57" s="364" t="s">
        <v>88</v>
      </c>
      <c r="B57" s="435">
        <f>Uniformity!C46</f>
        <v>1716.0245</v>
      </c>
      <c r="H57" s="367"/>
    </row>
    <row r="58" spans="1:12" ht="19.5" customHeight="1" x14ac:dyDescent="0.3">
      <c r="H58" s="367"/>
    </row>
    <row r="59" spans="1:12" s="14" customFormat="1" ht="27" customHeight="1" x14ac:dyDescent="0.4">
      <c r="A59" s="310" t="s">
        <v>89</v>
      </c>
      <c r="B59" s="311">
        <v>250</v>
      </c>
      <c r="C59" s="287"/>
      <c r="D59" s="368" t="s">
        <v>90</v>
      </c>
      <c r="E59" s="369" t="s">
        <v>62</v>
      </c>
      <c r="F59" s="369" t="s">
        <v>63</v>
      </c>
      <c r="G59" s="369" t="s">
        <v>91</v>
      </c>
      <c r="H59" s="314" t="s">
        <v>92</v>
      </c>
      <c r="L59" s="300"/>
    </row>
    <row r="60" spans="1:12" s="14" customFormat="1" ht="26.25" customHeight="1" x14ac:dyDescent="0.4">
      <c r="A60" s="312" t="s">
        <v>93</v>
      </c>
      <c r="B60" s="313">
        <v>10</v>
      </c>
      <c r="C60" s="514" t="s">
        <v>94</v>
      </c>
      <c r="D60" s="517">
        <v>1707.43</v>
      </c>
      <c r="E60" s="370">
        <v>1</v>
      </c>
      <c r="F60" s="371">
        <v>9617244</v>
      </c>
      <c r="G60" s="436">
        <f>IF(ISBLANK(F60),"-",(F60/$D$50*$D$47*$B$68)*($B$57/$D$60))</f>
        <v>294.48985004160494</v>
      </c>
      <c r="H60" s="454">
        <f t="shared" ref="H60:H71" si="0">IF(ISBLANK(F60),"-",(G60/$B$56)*100)</f>
        <v>98.163283347201642</v>
      </c>
      <c r="L60" s="300"/>
    </row>
    <row r="61" spans="1:12" s="14" customFormat="1" ht="26.25" customHeight="1" x14ac:dyDescent="0.4">
      <c r="A61" s="312" t="s">
        <v>95</v>
      </c>
      <c r="B61" s="313">
        <v>100</v>
      </c>
      <c r="C61" s="515"/>
      <c r="D61" s="518"/>
      <c r="E61" s="372">
        <v>2</v>
      </c>
      <c r="F61" s="325">
        <v>9704431</v>
      </c>
      <c r="G61" s="437">
        <f>IF(ISBLANK(F61),"-",(F61/$D$50*$D$47*$B$68)*($B$57/$D$60))</f>
        <v>297.15960517681594</v>
      </c>
      <c r="H61" s="455">
        <f t="shared" si="0"/>
        <v>99.053201725605305</v>
      </c>
      <c r="L61" s="300"/>
    </row>
    <row r="62" spans="1:12" s="14" customFormat="1" ht="26.25" customHeight="1" x14ac:dyDescent="0.4">
      <c r="A62" s="312" t="s">
        <v>96</v>
      </c>
      <c r="B62" s="313">
        <v>1</v>
      </c>
      <c r="C62" s="515"/>
      <c r="D62" s="518"/>
      <c r="E62" s="372">
        <v>3</v>
      </c>
      <c r="F62" s="373">
        <v>9648259</v>
      </c>
      <c r="G62" s="437">
        <f>IF(ISBLANK(F62),"-",(F62/$D$50*$D$47*$B$68)*($B$57/$D$60))</f>
        <v>295.43956107098506</v>
      </c>
      <c r="H62" s="455">
        <f t="shared" si="0"/>
        <v>98.479853690328355</v>
      </c>
      <c r="L62" s="300"/>
    </row>
    <row r="63" spans="1:12" ht="27" customHeight="1" x14ac:dyDescent="0.4">
      <c r="A63" s="312" t="s">
        <v>97</v>
      </c>
      <c r="B63" s="313">
        <v>1</v>
      </c>
      <c r="C63" s="516"/>
      <c r="D63" s="519"/>
      <c r="E63" s="374">
        <v>4</v>
      </c>
      <c r="F63" s="375"/>
      <c r="G63" s="437" t="str">
        <f>IF(ISBLANK(F63),"-",(F63/$D$50*$D$47*$B$68)*($B$57/$D$60))</f>
        <v>-</v>
      </c>
      <c r="H63" s="455" t="str">
        <f t="shared" si="0"/>
        <v>-</v>
      </c>
    </row>
    <row r="64" spans="1:12" ht="26.25" customHeight="1" x14ac:dyDescent="0.4">
      <c r="A64" s="312" t="s">
        <v>98</v>
      </c>
      <c r="B64" s="313">
        <v>1</v>
      </c>
      <c r="C64" s="514" t="s">
        <v>99</v>
      </c>
      <c r="D64" s="517">
        <v>1719.5</v>
      </c>
      <c r="E64" s="370">
        <v>1</v>
      </c>
      <c r="F64" s="371">
        <v>9942994</v>
      </c>
      <c r="G64" s="436">
        <f>IF(ISBLANK(F64),"-",(F64/$D$50*$D$47*$B$68)*($B$57/$D$64))</f>
        <v>302.32746405226311</v>
      </c>
      <c r="H64" s="454">
        <f t="shared" si="0"/>
        <v>100.77582135075438</v>
      </c>
    </row>
    <row r="65" spans="1:8" ht="26.25" customHeight="1" x14ac:dyDescent="0.4">
      <c r="A65" s="312" t="s">
        <v>100</v>
      </c>
      <c r="B65" s="313">
        <v>1</v>
      </c>
      <c r="C65" s="515"/>
      <c r="D65" s="518"/>
      <c r="E65" s="372">
        <v>2</v>
      </c>
      <c r="F65" s="325">
        <v>10025734</v>
      </c>
      <c r="G65" s="437">
        <f>IF(ISBLANK(F65),"-",(F65/$D$50*$D$47*$B$68)*($B$57/$D$64))</f>
        <v>304.84326305361867</v>
      </c>
      <c r="H65" s="455">
        <f t="shared" si="0"/>
        <v>101.61442101787289</v>
      </c>
    </row>
    <row r="66" spans="1:8" ht="26.25" customHeight="1" x14ac:dyDescent="0.4">
      <c r="A66" s="312" t="s">
        <v>101</v>
      </c>
      <c r="B66" s="313">
        <v>1</v>
      </c>
      <c r="C66" s="515"/>
      <c r="D66" s="518"/>
      <c r="E66" s="372">
        <v>3</v>
      </c>
      <c r="F66" s="325">
        <v>9972017</v>
      </c>
      <c r="G66" s="437">
        <f>IF(ISBLANK(F66),"-",(F66/$D$50*$D$47*$B$68)*($B$57/$D$64))</f>
        <v>303.20993969181279</v>
      </c>
      <c r="H66" s="455">
        <f t="shared" si="0"/>
        <v>101.06997989727094</v>
      </c>
    </row>
    <row r="67" spans="1:8" ht="27" customHeight="1" x14ac:dyDescent="0.4">
      <c r="A67" s="312" t="s">
        <v>102</v>
      </c>
      <c r="B67" s="313">
        <v>1</v>
      </c>
      <c r="C67" s="516"/>
      <c r="D67" s="519"/>
      <c r="E67" s="374">
        <v>4</v>
      </c>
      <c r="F67" s="375"/>
      <c r="G67" s="453" t="str">
        <f>IF(ISBLANK(F67),"-",(F67/$D$50*$D$47*$B$68)*($B$57/$D$64))</f>
        <v>-</v>
      </c>
      <c r="H67" s="456" t="str">
        <f t="shared" si="0"/>
        <v>-</v>
      </c>
    </row>
    <row r="68" spans="1:8" ht="26.25" customHeight="1" x14ac:dyDescent="0.4">
      <c r="A68" s="312" t="s">
        <v>103</v>
      </c>
      <c r="B68" s="376">
        <f>(B67/B66)*(B65/B64)*(B63/B62)*(B61/B60)*B59</f>
        <v>2500</v>
      </c>
      <c r="C68" s="514" t="s">
        <v>104</v>
      </c>
      <c r="D68" s="517">
        <v>1716.22</v>
      </c>
      <c r="E68" s="370">
        <v>1</v>
      </c>
      <c r="F68" s="371">
        <v>9744989</v>
      </c>
      <c r="G68" s="436">
        <f>IF(ISBLANK(F68),"-",(F68/$D$50*$D$47*$B$68)*($B$57/$D$68))</f>
        <v>296.87320323544748</v>
      </c>
      <c r="H68" s="455">
        <f t="shared" si="0"/>
        <v>98.957734411815821</v>
      </c>
    </row>
    <row r="69" spans="1:8" ht="27" customHeight="1" x14ac:dyDescent="0.4">
      <c r="A69" s="360" t="s">
        <v>105</v>
      </c>
      <c r="B69" s="377">
        <f>(D47*B68)/B56*B57</f>
        <v>1716.0245</v>
      </c>
      <c r="C69" s="515"/>
      <c r="D69" s="518"/>
      <c r="E69" s="372">
        <v>2</v>
      </c>
      <c r="F69" s="325">
        <v>9788279</v>
      </c>
      <c r="G69" s="437">
        <f>IF(ISBLANK(F69),"-",(F69/$D$50*$D$47*$B$68)*($B$57/$D$68))</f>
        <v>298.19199805071742</v>
      </c>
      <c r="H69" s="455">
        <f t="shared" si="0"/>
        <v>99.397332683572472</v>
      </c>
    </row>
    <row r="70" spans="1:8" ht="26.25" customHeight="1" x14ac:dyDescent="0.4">
      <c r="A70" s="527" t="s">
        <v>78</v>
      </c>
      <c r="B70" s="528"/>
      <c r="C70" s="515"/>
      <c r="D70" s="518"/>
      <c r="E70" s="372">
        <v>3</v>
      </c>
      <c r="F70" s="325">
        <v>9851721</v>
      </c>
      <c r="G70" s="437">
        <f>IF(ISBLANK(F70),"-",(F70/$D$50*$D$47*$B$68)*($B$57/$D$68))</f>
        <v>300.12470723691177</v>
      </c>
      <c r="H70" s="455">
        <f t="shared" si="0"/>
        <v>100.0415690789706</v>
      </c>
    </row>
    <row r="71" spans="1:8" ht="27" customHeight="1" x14ac:dyDescent="0.4">
      <c r="A71" s="529"/>
      <c r="B71" s="530"/>
      <c r="C71" s="526"/>
      <c r="D71" s="519"/>
      <c r="E71" s="374">
        <v>4</v>
      </c>
      <c r="F71" s="375"/>
      <c r="G71" s="453" t="str">
        <f>IF(ISBLANK(F71),"-",(F71/$D$50*$D$47*$B$68)*($B$57/$D$68))</f>
        <v>-</v>
      </c>
      <c r="H71" s="456" t="str">
        <f t="shared" si="0"/>
        <v>-</v>
      </c>
    </row>
    <row r="72" spans="1:8" ht="26.25" customHeight="1" x14ac:dyDescent="0.4">
      <c r="A72" s="378"/>
      <c r="B72" s="378"/>
      <c r="C72" s="378"/>
      <c r="D72" s="378"/>
      <c r="E72" s="378"/>
      <c r="F72" s="380" t="s">
        <v>71</v>
      </c>
      <c r="G72" s="442">
        <f>AVERAGE(G60:G71)</f>
        <v>299.18439906779747</v>
      </c>
      <c r="H72" s="457">
        <f>AVERAGE(H60:H71)</f>
        <v>99.728133022599152</v>
      </c>
    </row>
    <row r="73" spans="1:8" ht="26.25" customHeight="1" x14ac:dyDescent="0.4">
      <c r="C73" s="378"/>
      <c r="D73" s="378"/>
      <c r="E73" s="378"/>
      <c r="F73" s="381" t="s">
        <v>84</v>
      </c>
      <c r="G73" s="441">
        <f>STDEV(G60:G71)/G72</f>
        <v>1.2136693116464183E-2</v>
      </c>
      <c r="H73" s="441">
        <f>STDEV(H60:H71)/H72</f>
        <v>1.2136693116464222E-2</v>
      </c>
    </row>
    <row r="74" spans="1:8" ht="27" customHeight="1" x14ac:dyDescent="0.4">
      <c r="A74" s="378"/>
      <c r="B74" s="378"/>
      <c r="C74" s="379"/>
      <c r="D74" s="379"/>
      <c r="E74" s="382"/>
      <c r="F74" s="383" t="s">
        <v>20</v>
      </c>
      <c r="G74" s="384">
        <f>COUNT(G60:G71)</f>
        <v>9</v>
      </c>
      <c r="H74" s="384">
        <f>COUNT(H60:H71)</f>
        <v>9</v>
      </c>
    </row>
    <row r="76" spans="1:8" ht="26.25" customHeight="1" x14ac:dyDescent="0.4">
      <c r="A76" s="296" t="s">
        <v>106</v>
      </c>
      <c r="B76" s="385" t="s">
        <v>107</v>
      </c>
      <c r="C76" s="522" t="str">
        <f>B26</f>
        <v>TENOFORVIR</v>
      </c>
      <c r="D76" s="522"/>
      <c r="E76" s="386" t="s">
        <v>108</v>
      </c>
      <c r="F76" s="386"/>
      <c r="G76" s="479">
        <f>H72</f>
        <v>99.728133022599152</v>
      </c>
      <c r="H76" s="388"/>
    </row>
    <row r="77" spans="1:8" ht="18.75" x14ac:dyDescent="0.3">
      <c r="A77" s="295" t="s">
        <v>109</v>
      </c>
      <c r="B77" s="295" t="s">
        <v>110</v>
      </c>
    </row>
    <row r="78" spans="1:8" ht="18.75" x14ac:dyDescent="0.3">
      <c r="A78" s="295"/>
      <c r="B78" s="295"/>
    </row>
    <row r="79" spans="1:8" ht="26.25" customHeight="1" x14ac:dyDescent="0.4">
      <c r="A79" s="296" t="s">
        <v>4</v>
      </c>
      <c r="B79" s="508" t="str">
        <f>B26</f>
        <v>TENOFORVIR</v>
      </c>
      <c r="C79" s="508"/>
    </row>
    <row r="80" spans="1:8" ht="26.25" customHeight="1" x14ac:dyDescent="0.4">
      <c r="A80" s="297" t="s">
        <v>48</v>
      </c>
      <c r="B80" s="508" t="str">
        <f>B27</f>
        <v>T11-10</v>
      </c>
      <c r="C80" s="508"/>
    </row>
    <row r="81" spans="1:12" ht="27" customHeight="1" x14ac:dyDescent="0.4">
      <c r="A81" s="297" t="s">
        <v>6</v>
      </c>
      <c r="B81" s="389">
        <f>B28</f>
        <v>99.54</v>
      </c>
    </row>
    <row r="82" spans="1:12" s="14" customFormat="1" ht="27" customHeight="1" x14ac:dyDescent="0.4">
      <c r="A82" s="297" t="s">
        <v>49</v>
      </c>
      <c r="B82" s="299">
        <v>0</v>
      </c>
      <c r="C82" s="499" t="s">
        <v>50</v>
      </c>
      <c r="D82" s="500"/>
      <c r="E82" s="500"/>
      <c r="F82" s="500"/>
      <c r="G82" s="501"/>
      <c r="I82" s="300"/>
      <c r="J82" s="300"/>
      <c r="K82" s="300"/>
      <c r="L82" s="300"/>
    </row>
    <row r="83" spans="1:12" s="14" customFormat="1" ht="19.5" customHeight="1" x14ac:dyDescent="0.3">
      <c r="A83" s="297" t="s">
        <v>51</v>
      </c>
      <c r="B83" s="301">
        <f>B81-B82</f>
        <v>99.54</v>
      </c>
      <c r="C83" s="302"/>
      <c r="D83" s="302"/>
      <c r="E83" s="302"/>
      <c r="F83" s="302"/>
      <c r="G83" s="303"/>
      <c r="I83" s="300"/>
      <c r="J83" s="300"/>
      <c r="K83" s="300"/>
      <c r="L83" s="300"/>
    </row>
    <row r="84" spans="1:12" s="14" customFormat="1" ht="27" customHeight="1" x14ac:dyDescent="0.4">
      <c r="A84" s="297" t="s">
        <v>52</v>
      </c>
      <c r="B84" s="304">
        <v>1</v>
      </c>
      <c r="C84" s="502" t="s">
        <v>111</v>
      </c>
      <c r="D84" s="503"/>
      <c r="E84" s="503"/>
      <c r="F84" s="503"/>
      <c r="G84" s="503"/>
      <c r="H84" s="504"/>
      <c r="I84" s="300"/>
      <c r="J84" s="300"/>
      <c r="K84" s="300"/>
      <c r="L84" s="300"/>
    </row>
    <row r="85" spans="1:12" s="14" customFormat="1" ht="27" customHeight="1" x14ac:dyDescent="0.4">
      <c r="A85" s="297" t="s">
        <v>54</v>
      </c>
      <c r="B85" s="304">
        <v>1</v>
      </c>
      <c r="C85" s="502" t="s">
        <v>112</v>
      </c>
      <c r="D85" s="503"/>
      <c r="E85" s="503"/>
      <c r="F85" s="503"/>
      <c r="G85" s="503"/>
      <c r="H85" s="504"/>
      <c r="I85" s="300"/>
      <c r="J85" s="300"/>
      <c r="K85" s="300"/>
      <c r="L85" s="300"/>
    </row>
    <row r="86" spans="1:12" s="14" customFormat="1" ht="18.75" x14ac:dyDescent="0.3">
      <c r="A86" s="297"/>
      <c r="B86" s="307"/>
      <c r="C86" s="308"/>
      <c r="D86" s="308"/>
      <c r="E86" s="308"/>
      <c r="F86" s="308"/>
      <c r="G86" s="308"/>
      <c r="H86" s="308"/>
      <c r="I86" s="300"/>
      <c r="J86" s="300"/>
      <c r="K86" s="300"/>
      <c r="L86" s="300"/>
    </row>
    <row r="87" spans="1:12" s="14" customFormat="1" ht="18.75" x14ac:dyDescent="0.3">
      <c r="A87" s="297" t="s">
        <v>56</v>
      </c>
      <c r="B87" s="309">
        <f>B84/B85</f>
        <v>1</v>
      </c>
      <c r="C87" s="287" t="s">
        <v>57</v>
      </c>
      <c r="D87" s="287"/>
      <c r="E87" s="287"/>
      <c r="F87" s="287"/>
      <c r="G87" s="287"/>
      <c r="I87" s="300"/>
      <c r="J87" s="300"/>
      <c r="K87" s="300"/>
      <c r="L87" s="300"/>
    </row>
    <row r="88" spans="1:12" ht="19.5" customHeight="1" x14ac:dyDescent="0.3">
      <c r="A88" s="295"/>
      <c r="B88" s="295"/>
    </row>
    <row r="89" spans="1:12" ht="27" customHeight="1" x14ac:dyDescent="0.4">
      <c r="A89" s="310" t="s">
        <v>58</v>
      </c>
      <c r="B89" s="311">
        <v>50</v>
      </c>
      <c r="D89" s="390" t="s">
        <v>59</v>
      </c>
      <c r="E89" s="391"/>
      <c r="F89" s="505" t="s">
        <v>60</v>
      </c>
      <c r="G89" s="507"/>
    </row>
    <row r="90" spans="1:12" ht="27" customHeight="1" x14ac:dyDescent="0.4">
      <c r="A90" s="312" t="s">
        <v>61</v>
      </c>
      <c r="B90" s="313">
        <v>1</v>
      </c>
      <c r="C90" s="392" t="s">
        <v>62</v>
      </c>
      <c r="D90" s="315" t="s">
        <v>63</v>
      </c>
      <c r="E90" s="316" t="s">
        <v>64</v>
      </c>
      <c r="F90" s="315" t="s">
        <v>63</v>
      </c>
      <c r="G90" s="393" t="s">
        <v>64</v>
      </c>
      <c r="I90" s="318" t="s">
        <v>65</v>
      </c>
    </row>
    <row r="91" spans="1:12" ht="26.25" customHeight="1" x14ac:dyDescent="0.4">
      <c r="A91" s="312" t="s">
        <v>66</v>
      </c>
      <c r="B91" s="313">
        <v>1</v>
      </c>
      <c r="C91" s="394">
        <v>1</v>
      </c>
      <c r="D91" s="320">
        <v>3555802</v>
      </c>
      <c r="E91" s="321">
        <f>IF(ISBLANK(D91),"-",$D$101/$D$98*D91)</f>
        <v>3752346.9303333154</v>
      </c>
      <c r="F91" s="320">
        <v>3702912</v>
      </c>
      <c r="G91" s="322">
        <f>IF(ISBLANK(F91),"-",$D$101/$F$98*F91)</f>
        <v>3642321.2574185901</v>
      </c>
      <c r="I91" s="323"/>
    </row>
    <row r="92" spans="1:12" ht="26.25" customHeight="1" x14ac:dyDescent="0.4">
      <c r="A92" s="312" t="s">
        <v>67</v>
      </c>
      <c r="B92" s="313">
        <v>1</v>
      </c>
      <c r="C92" s="379">
        <v>2</v>
      </c>
      <c r="D92" s="325">
        <v>3556613</v>
      </c>
      <c r="E92" s="326">
        <f>IF(ISBLANK(D92),"-",$D$101/$D$98*D92)</f>
        <v>3753202.757896408</v>
      </c>
      <c r="F92" s="325">
        <v>3706474</v>
      </c>
      <c r="G92" s="327">
        <f>IF(ISBLANK(F92),"-",$D$101/$F$98*F92)</f>
        <v>3645824.9724188182</v>
      </c>
      <c r="I92" s="509">
        <f>ABS((F96/D96*D95)-F95)/D95</f>
        <v>2.9177101042097291E-2</v>
      </c>
    </row>
    <row r="93" spans="1:12" ht="26.25" customHeight="1" x14ac:dyDescent="0.4">
      <c r="A93" s="312" t="s">
        <v>68</v>
      </c>
      <c r="B93" s="313">
        <v>1</v>
      </c>
      <c r="C93" s="379">
        <v>3</v>
      </c>
      <c r="D93" s="325">
        <v>3557627</v>
      </c>
      <c r="E93" s="326">
        <f>IF(ISBLANK(D93),"-",$D$101/$D$98*D93)</f>
        <v>3754272.8061688817</v>
      </c>
      <c r="F93" s="325">
        <v>3726425</v>
      </c>
      <c r="G93" s="327">
        <f>IF(ISBLANK(F93),"-",$D$101/$F$98*F93)</f>
        <v>3665449.5142407031</v>
      </c>
      <c r="I93" s="509"/>
    </row>
    <row r="94" spans="1:12" ht="27" customHeight="1" x14ac:dyDescent="0.4">
      <c r="A94" s="312" t="s">
        <v>69</v>
      </c>
      <c r="B94" s="313">
        <v>1</v>
      </c>
      <c r="C94" s="395">
        <v>4</v>
      </c>
      <c r="D94" s="330"/>
      <c r="E94" s="331" t="str">
        <f>IF(ISBLANK(D94),"-",$D$101/$D$98*D94)</f>
        <v>-</v>
      </c>
      <c r="F94" s="396"/>
      <c r="G94" s="332" t="str">
        <f>IF(ISBLANK(F94),"-",$D$101/$F$98*F94)</f>
        <v>-</v>
      </c>
      <c r="I94" s="333"/>
    </row>
    <row r="95" spans="1:12" ht="27" customHeight="1" x14ac:dyDescent="0.4">
      <c r="A95" s="312" t="s">
        <v>70</v>
      </c>
      <c r="B95" s="313">
        <v>1</v>
      </c>
      <c r="C95" s="397" t="s">
        <v>71</v>
      </c>
      <c r="D95" s="398">
        <f>AVERAGE(D91:D94)</f>
        <v>3556680.6666666665</v>
      </c>
      <c r="E95" s="336">
        <f>AVERAGE(E91:E94)</f>
        <v>3753274.1647995352</v>
      </c>
      <c r="F95" s="399">
        <f>AVERAGE(F91:F94)</f>
        <v>3711937</v>
      </c>
      <c r="G95" s="400">
        <f>AVERAGE(G91:G94)</f>
        <v>3651198.5813593701</v>
      </c>
    </row>
    <row r="96" spans="1:12" ht="26.25" customHeight="1" x14ac:dyDescent="0.4">
      <c r="A96" s="312" t="s">
        <v>72</v>
      </c>
      <c r="B96" s="298">
        <v>1</v>
      </c>
      <c r="C96" s="401" t="s">
        <v>113</v>
      </c>
      <c r="D96" s="402">
        <v>14.28</v>
      </c>
      <c r="E96" s="328"/>
      <c r="F96" s="340">
        <v>15.32</v>
      </c>
    </row>
    <row r="97" spans="1:10" ht="26.25" customHeight="1" x14ac:dyDescent="0.4">
      <c r="A97" s="312" t="s">
        <v>74</v>
      </c>
      <c r="B97" s="298">
        <v>1</v>
      </c>
      <c r="C97" s="403" t="s">
        <v>114</v>
      </c>
      <c r="D97" s="404">
        <f>D96*$B$87</f>
        <v>14.28</v>
      </c>
      <c r="E97" s="343"/>
      <c r="F97" s="342">
        <f>F96*$B$87</f>
        <v>15.32</v>
      </c>
    </row>
    <row r="98" spans="1:10" ht="19.5" customHeight="1" x14ac:dyDescent="0.3">
      <c r="A98" s="312" t="s">
        <v>76</v>
      </c>
      <c r="B98" s="405">
        <f>(B97/B96)*(B95/B94)*(B93/B92)*(B91/B90)*B89</f>
        <v>50</v>
      </c>
      <c r="C98" s="403" t="s">
        <v>115</v>
      </c>
      <c r="D98" s="406">
        <f>D97*$B$83/100</f>
        <v>14.214312</v>
      </c>
      <c r="E98" s="346"/>
      <c r="F98" s="345">
        <f>F97*$B$83/100</f>
        <v>15.249528</v>
      </c>
    </row>
    <row r="99" spans="1:10" ht="19.5" customHeight="1" x14ac:dyDescent="0.3">
      <c r="A99" s="510" t="s">
        <v>78</v>
      </c>
      <c r="B99" s="524"/>
      <c r="C99" s="403" t="s">
        <v>116</v>
      </c>
      <c r="D99" s="407">
        <f>D98/$B$98</f>
        <v>0.28428623999999997</v>
      </c>
      <c r="E99" s="346"/>
      <c r="F99" s="349">
        <f>F98/$B$98</f>
        <v>0.30499056000000002</v>
      </c>
      <c r="G99" s="408"/>
      <c r="H99" s="338"/>
    </row>
    <row r="100" spans="1:10" ht="19.5" customHeight="1" x14ac:dyDescent="0.3">
      <c r="A100" s="512"/>
      <c r="B100" s="525"/>
      <c r="C100" s="403" t="s">
        <v>80</v>
      </c>
      <c r="D100" s="409">
        <f>$B$56/$B$116</f>
        <v>0.3</v>
      </c>
      <c r="F100" s="354"/>
      <c r="G100" s="410"/>
      <c r="H100" s="338"/>
    </row>
    <row r="101" spans="1:10" ht="18.75" x14ac:dyDescent="0.3">
      <c r="C101" s="403" t="s">
        <v>81</v>
      </c>
      <c r="D101" s="404">
        <f>D100*$B$98</f>
        <v>15</v>
      </c>
      <c r="F101" s="354"/>
      <c r="G101" s="408"/>
      <c r="H101" s="338"/>
    </row>
    <row r="102" spans="1:10" ht="19.5" customHeight="1" x14ac:dyDescent="0.3">
      <c r="C102" s="411" t="s">
        <v>82</v>
      </c>
      <c r="D102" s="412">
        <f>D101/B34</f>
        <v>15</v>
      </c>
      <c r="F102" s="358"/>
      <c r="G102" s="408"/>
      <c r="H102" s="338"/>
      <c r="J102" s="413"/>
    </row>
    <row r="103" spans="1:10" ht="18.75" x14ac:dyDescent="0.3">
      <c r="C103" s="414" t="s">
        <v>117</v>
      </c>
      <c r="D103" s="415">
        <f>AVERAGE(E91:E94,G91:G94)</f>
        <v>3702236.3730794527</v>
      </c>
      <c r="F103" s="358"/>
      <c r="G103" s="416"/>
      <c r="H103" s="338"/>
      <c r="J103" s="417"/>
    </row>
    <row r="104" spans="1:10" ht="18.75" x14ac:dyDescent="0.3">
      <c r="C104" s="381" t="s">
        <v>84</v>
      </c>
      <c r="D104" s="418">
        <f>STDEV(E91:E94,G91:G94)/D103</f>
        <v>1.5251730976903128E-2</v>
      </c>
      <c r="F104" s="358"/>
      <c r="G104" s="408"/>
      <c r="H104" s="338"/>
      <c r="J104" s="417"/>
    </row>
    <row r="105" spans="1:10" ht="19.5" customHeight="1" x14ac:dyDescent="0.3">
      <c r="C105" s="383" t="s">
        <v>20</v>
      </c>
      <c r="D105" s="419">
        <f>COUNT(E91:E94,G91:G94)</f>
        <v>6</v>
      </c>
      <c r="F105" s="358"/>
      <c r="G105" s="408"/>
      <c r="H105" s="338"/>
      <c r="J105" s="417"/>
    </row>
    <row r="106" spans="1:10" ht="19.5" customHeight="1" x14ac:dyDescent="0.3">
      <c r="A106" s="362"/>
      <c r="B106" s="362"/>
      <c r="C106" s="362"/>
      <c r="D106" s="362"/>
      <c r="E106" s="362"/>
    </row>
    <row r="107" spans="1:10" ht="27" customHeight="1" x14ac:dyDescent="0.4">
      <c r="A107" s="310" t="s">
        <v>118</v>
      </c>
      <c r="B107" s="311">
        <v>1000</v>
      </c>
      <c r="C107" s="458" t="s">
        <v>119</v>
      </c>
      <c r="D107" s="458" t="s">
        <v>63</v>
      </c>
      <c r="E107" s="458" t="s">
        <v>120</v>
      </c>
      <c r="F107" s="420" t="s">
        <v>121</v>
      </c>
    </row>
    <row r="108" spans="1:10" ht="26.25" customHeight="1" x14ac:dyDescent="0.4">
      <c r="A108" s="312" t="s">
        <v>122</v>
      </c>
      <c r="B108" s="313">
        <v>1</v>
      </c>
      <c r="C108" s="463">
        <v>1</v>
      </c>
      <c r="D108" s="464">
        <v>3775542</v>
      </c>
      <c r="E108" s="438">
        <f t="shared" ref="E108:E113" si="1">IF(ISBLANK(D108),"-",D108/$D$103*$D$100*$B$116)</f>
        <v>305.940109128654</v>
      </c>
      <c r="F108" s="465">
        <f t="shared" ref="F108:F113" si="2">IF(ISBLANK(D108), "-", (E108/$B$56)*100)</f>
        <v>101.980036376218</v>
      </c>
    </row>
    <row r="109" spans="1:10" ht="26.25" customHeight="1" x14ac:dyDescent="0.4">
      <c r="A109" s="312" t="s">
        <v>95</v>
      </c>
      <c r="B109" s="313">
        <v>1</v>
      </c>
      <c r="C109" s="459">
        <v>2</v>
      </c>
      <c r="D109" s="461">
        <v>3755227</v>
      </c>
      <c r="E109" s="439">
        <f t="shared" si="1"/>
        <v>304.2939419513458</v>
      </c>
      <c r="F109" s="466">
        <f t="shared" si="2"/>
        <v>101.43131398378193</v>
      </c>
    </row>
    <row r="110" spans="1:10" ht="26.25" customHeight="1" x14ac:dyDescent="0.4">
      <c r="A110" s="312" t="s">
        <v>96</v>
      </c>
      <c r="B110" s="313">
        <v>1</v>
      </c>
      <c r="C110" s="459">
        <v>3</v>
      </c>
      <c r="D110" s="461">
        <v>3767431</v>
      </c>
      <c r="E110" s="439">
        <f t="shared" si="1"/>
        <v>305.28285773927928</v>
      </c>
      <c r="F110" s="466">
        <f t="shared" si="2"/>
        <v>101.76095257975976</v>
      </c>
    </row>
    <row r="111" spans="1:10" ht="26.25" customHeight="1" x14ac:dyDescent="0.4">
      <c r="A111" s="312" t="s">
        <v>97</v>
      </c>
      <c r="B111" s="313">
        <v>1</v>
      </c>
      <c r="C111" s="459">
        <v>4</v>
      </c>
      <c r="D111" s="461">
        <v>3774448</v>
      </c>
      <c r="E111" s="439">
        <f t="shared" si="1"/>
        <v>305.8514600077101</v>
      </c>
      <c r="F111" s="466">
        <f t="shared" si="2"/>
        <v>101.9504866692367</v>
      </c>
    </row>
    <row r="112" spans="1:10" ht="26.25" customHeight="1" x14ac:dyDescent="0.4">
      <c r="A112" s="312" t="s">
        <v>98</v>
      </c>
      <c r="B112" s="313">
        <v>1</v>
      </c>
      <c r="C112" s="459">
        <v>5</v>
      </c>
      <c r="D112" s="461">
        <v>3780203</v>
      </c>
      <c r="E112" s="439">
        <f t="shared" si="1"/>
        <v>306.31779976185283</v>
      </c>
      <c r="F112" s="466">
        <f t="shared" si="2"/>
        <v>102.10593325395094</v>
      </c>
    </row>
    <row r="113" spans="1:10" ht="27" customHeight="1" x14ac:dyDescent="0.4">
      <c r="A113" s="312" t="s">
        <v>100</v>
      </c>
      <c r="B113" s="313">
        <v>1</v>
      </c>
      <c r="C113" s="460">
        <v>6</v>
      </c>
      <c r="D113" s="462">
        <v>3790626</v>
      </c>
      <c r="E113" s="440">
        <f t="shared" si="1"/>
        <v>307.16239737391697</v>
      </c>
      <c r="F113" s="467">
        <f t="shared" si="2"/>
        <v>102.38746579130566</v>
      </c>
    </row>
    <row r="114" spans="1:10" ht="27" customHeight="1" x14ac:dyDescent="0.4">
      <c r="A114" s="312" t="s">
        <v>101</v>
      </c>
      <c r="B114" s="313">
        <v>1</v>
      </c>
      <c r="C114" s="421"/>
      <c r="D114" s="379"/>
      <c r="E114" s="286"/>
      <c r="F114" s="468"/>
    </row>
    <row r="115" spans="1:10" ht="26.25" customHeight="1" x14ac:dyDescent="0.4">
      <c r="A115" s="312" t="s">
        <v>102</v>
      </c>
      <c r="B115" s="313">
        <v>1</v>
      </c>
      <c r="C115" s="421"/>
      <c r="D115" s="445" t="s">
        <v>71</v>
      </c>
      <c r="E115" s="447">
        <f>AVERAGE(E108:E113)</f>
        <v>305.80809432712653</v>
      </c>
      <c r="F115" s="469">
        <f>AVERAGE(F108:F113)</f>
        <v>101.93603144237549</v>
      </c>
    </row>
    <row r="116" spans="1:10" ht="27" customHeight="1" x14ac:dyDescent="0.4">
      <c r="A116" s="312" t="s">
        <v>103</v>
      </c>
      <c r="B116" s="344">
        <f>(B115/B114)*(B113/B112)*(B111/B110)*(B109/B108)*B107</f>
        <v>1000</v>
      </c>
      <c r="C116" s="422"/>
      <c r="D116" s="446" t="s">
        <v>84</v>
      </c>
      <c r="E116" s="444">
        <f>STDEV(E108:E113)/E115</f>
        <v>3.1642539102996474E-3</v>
      </c>
      <c r="F116" s="423">
        <f>STDEV(F108:F113)/F115</f>
        <v>3.1642539102996409E-3</v>
      </c>
      <c r="I116" s="286"/>
    </row>
    <row r="117" spans="1:10" ht="27" customHeight="1" x14ac:dyDescent="0.4">
      <c r="A117" s="510" t="s">
        <v>78</v>
      </c>
      <c r="B117" s="511"/>
      <c r="C117" s="424"/>
      <c r="D117" s="383" t="s">
        <v>20</v>
      </c>
      <c r="E117" s="449">
        <f>COUNT(E108:E113)</f>
        <v>6</v>
      </c>
      <c r="F117" s="450">
        <f>COUNT(F108:F113)</f>
        <v>6</v>
      </c>
      <c r="I117" s="286"/>
      <c r="J117" s="417"/>
    </row>
    <row r="118" spans="1:10" ht="26.25" customHeight="1" x14ac:dyDescent="0.3">
      <c r="A118" s="512"/>
      <c r="B118" s="513"/>
      <c r="C118" s="286"/>
      <c r="D118" s="448"/>
      <c r="E118" s="490" t="s">
        <v>123</v>
      </c>
      <c r="F118" s="491"/>
      <c r="G118" s="286"/>
      <c r="H118" s="286"/>
      <c r="I118" s="286"/>
    </row>
    <row r="119" spans="1:10" ht="25.5" customHeight="1" x14ac:dyDescent="0.4">
      <c r="A119" s="433"/>
      <c r="B119" s="308"/>
      <c r="C119" s="286"/>
      <c r="D119" s="446" t="s">
        <v>124</v>
      </c>
      <c r="E119" s="451">
        <f>MIN(E108:E113)</f>
        <v>304.2939419513458</v>
      </c>
      <c r="F119" s="470">
        <f>MIN(F108:F113)</f>
        <v>101.43131398378193</v>
      </c>
      <c r="G119" s="286"/>
      <c r="H119" s="286"/>
      <c r="I119" s="286"/>
    </row>
    <row r="120" spans="1:10" ht="24" customHeight="1" x14ac:dyDescent="0.4">
      <c r="A120" s="433"/>
      <c r="B120" s="308"/>
      <c r="C120" s="286"/>
      <c r="D120" s="355" t="s">
        <v>125</v>
      </c>
      <c r="E120" s="452">
        <f>MAX(E108:E113)</f>
        <v>307.16239737391697</v>
      </c>
      <c r="F120" s="471">
        <f>MAX(F108:F113)</f>
        <v>102.38746579130566</v>
      </c>
      <c r="G120" s="286"/>
      <c r="H120" s="286"/>
      <c r="I120" s="286"/>
    </row>
    <row r="121" spans="1:10" ht="27" customHeight="1" x14ac:dyDescent="0.3">
      <c r="A121" s="433"/>
      <c r="B121" s="308"/>
      <c r="C121" s="286"/>
      <c r="D121" s="286"/>
      <c r="E121" s="286"/>
      <c r="F121" s="379"/>
      <c r="G121" s="286"/>
      <c r="H121" s="286"/>
      <c r="I121" s="286"/>
    </row>
    <row r="122" spans="1:10" ht="25.5" customHeight="1" x14ac:dyDescent="0.3">
      <c r="A122" s="433"/>
      <c r="B122" s="308"/>
      <c r="C122" s="286"/>
      <c r="D122" s="286"/>
      <c r="E122" s="286"/>
      <c r="F122" s="379"/>
      <c r="G122" s="286"/>
      <c r="H122" s="286"/>
      <c r="I122" s="286"/>
    </row>
    <row r="123" spans="1:10" ht="18.75" x14ac:dyDescent="0.3">
      <c r="A123" s="433"/>
      <c r="B123" s="308"/>
      <c r="C123" s="286"/>
      <c r="D123" s="286"/>
      <c r="E123" s="286"/>
      <c r="F123" s="379"/>
      <c r="G123" s="286"/>
      <c r="H123" s="286"/>
      <c r="I123" s="286"/>
    </row>
    <row r="124" spans="1:10" ht="45.75" customHeight="1" x14ac:dyDescent="0.65">
      <c r="A124" s="296" t="s">
        <v>106</v>
      </c>
      <c r="B124" s="385" t="s">
        <v>126</v>
      </c>
      <c r="C124" s="522" t="str">
        <f>B26</f>
        <v>TENOFORVIR</v>
      </c>
      <c r="D124" s="522"/>
      <c r="E124" s="386" t="s">
        <v>127</v>
      </c>
      <c r="F124" s="386"/>
      <c r="G124" s="472">
        <f>F115</f>
        <v>101.93603144237549</v>
      </c>
      <c r="H124" s="286"/>
      <c r="I124" s="286"/>
    </row>
    <row r="125" spans="1:10" ht="45.75" customHeight="1" x14ac:dyDescent="0.65">
      <c r="A125" s="296"/>
      <c r="B125" s="385" t="s">
        <v>128</v>
      </c>
      <c r="C125" s="297" t="s">
        <v>129</v>
      </c>
      <c r="D125" s="472">
        <f>MIN(F108:F113)</f>
        <v>101.43131398378193</v>
      </c>
      <c r="E125" s="397" t="s">
        <v>130</v>
      </c>
      <c r="F125" s="472">
        <f>MAX(F108:F113)</f>
        <v>102.38746579130566</v>
      </c>
      <c r="G125" s="387"/>
      <c r="H125" s="286"/>
      <c r="I125" s="286"/>
    </row>
    <row r="126" spans="1:10" ht="19.5" customHeight="1" x14ac:dyDescent="0.3">
      <c r="A126" s="425"/>
      <c r="B126" s="425"/>
      <c r="C126" s="426"/>
      <c r="D126" s="426"/>
      <c r="E126" s="426"/>
      <c r="F126" s="426"/>
      <c r="G126" s="426"/>
      <c r="H126" s="426"/>
    </row>
    <row r="127" spans="1:10" ht="18.75" x14ac:dyDescent="0.3">
      <c r="B127" s="523" t="s">
        <v>26</v>
      </c>
      <c r="C127" s="523"/>
      <c r="E127" s="392" t="s">
        <v>27</v>
      </c>
      <c r="F127" s="427"/>
      <c r="G127" s="523" t="s">
        <v>28</v>
      </c>
      <c r="H127" s="523"/>
    </row>
    <row r="128" spans="1:10" ht="69.95" customHeight="1" x14ac:dyDescent="0.3">
      <c r="A128" s="428" t="s">
        <v>29</v>
      </c>
      <c r="B128" s="429"/>
      <c r="C128" s="429"/>
      <c r="E128" s="429"/>
      <c r="F128" s="286"/>
      <c r="G128" s="430"/>
      <c r="H128" s="430"/>
    </row>
    <row r="129" spans="1:9" ht="69.95" customHeight="1" x14ac:dyDescent="0.3">
      <c r="A129" s="428" t="s">
        <v>30</v>
      </c>
      <c r="B129" s="431"/>
      <c r="C129" s="431"/>
      <c r="E129" s="431"/>
      <c r="F129" s="286"/>
      <c r="G129" s="432"/>
      <c r="H129" s="432"/>
    </row>
    <row r="130" spans="1:9" ht="18.75" x14ac:dyDescent="0.3">
      <c r="A130" s="378"/>
      <c r="B130" s="378"/>
      <c r="C130" s="379"/>
      <c r="D130" s="379"/>
      <c r="E130" s="379"/>
      <c r="F130" s="382"/>
      <c r="G130" s="379"/>
      <c r="H130" s="379"/>
      <c r="I130" s="286"/>
    </row>
    <row r="131" spans="1:9" ht="18.75" x14ac:dyDescent="0.3">
      <c r="A131" s="378"/>
      <c r="B131" s="378"/>
      <c r="C131" s="379"/>
      <c r="D131" s="379"/>
      <c r="E131" s="379"/>
      <c r="F131" s="382"/>
      <c r="G131" s="379"/>
      <c r="H131" s="379"/>
      <c r="I131" s="286"/>
    </row>
    <row r="132" spans="1:9" ht="18.75" x14ac:dyDescent="0.3">
      <c r="A132" s="378"/>
      <c r="B132" s="378"/>
      <c r="C132" s="379"/>
      <c r="D132" s="379"/>
      <c r="E132" s="379"/>
      <c r="F132" s="382"/>
      <c r="G132" s="379"/>
      <c r="H132" s="379"/>
      <c r="I132" s="286"/>
    </row>
    <row r="133" spans="1:9" ht="18.75" x14ac:dyDescent="0.3">
      <c r="A133" s="378"/>
      <c r="B133" s="378"/>
      <c r="C133" s="379"/>
      <c r="D133" s="379"/>
      <c r="E133" s="379"/>
      <c r="F133" s="382"/>
      <c r="G133" s="379"/>
      <c r="H133" s="379"/>
      <c r="I133" s="286"/>
    </row>
    <row r="134" spans="1:9" ht="18.75" x14ac:dyDescent="0.3">
      <c r="A134" s="378"/>
      <c r="B134" s="378"/>
      <c r="C134" s="379"/>
      <c r="D134" s="379"/>
      <c r="E134" s="379"/>
      <c r="F134" s="382"/>
      <c r="G134" s="379"/>
      <c r="H134" s="379"/>
      <c r="I134" s="286"/>
    </row>
    <row r="135" spans="1:9" ht="18.75" x14ac:dyDescent="0.3">
      <c r="A135" s="378"/>
      <c r="B135" s="378"/>
      <c r="C135" s="379"/>
      <c r="D135" s="379"/>
      <c r="E135" s="379"/>
      <c r="F135" s="382"/>
      <c r="G135" s="379"/>
      <c r="H135" s="379"/>
      <c r="I135" s="286"/>
    </row>
    <row r="136" spans="1:9" ht="18.75" x14ac:dyDescent="0.3">
      <c r="A136" s="378"/>
      <c r="B136" s="378"/>
      <c r="C136" s="379"/>
      <c r="D136" s="379"/>
      <c r="E136" s="379"/>
      <c r="F136" s="382"/>
      <c r="G136" s="379"/>
      <c r="H136" s="379"/>
      <c r="I136" s="286"/>
    </row>
    <row r="137" spans="1:9" ht="18.75" x14ac:dyDescent="0.3">
      <c r="A137" s="378"/>
      <c r="B137" s="378"/>
      <c r="C137" s="379"/>
      <c r="D137" s="379"/>
      <c r="E137" s="379"/>
      <c r="F137" s="382"/>
      <c r="G137" s="379"/>
      <c r="H137" s="379"/>
      <c r="I137" s="286"/>
    </row>
    <row r="138" spans="1:9" ht="18.75" x14ac:dyDescent="0.3">
      <c r="A138" s="378"/>
      <c r="B138" s="378"/>
      <c r="C138" s="379"/>
      <c r="D138" s="379"/>
      <c r="E138" s="379"/>
      <c r="F138" s="382"/>
      <c r="G138" s="379"/>
      <c r="H138" s="379"/>
      <c r="I138" s="286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I39:I40"/>
    <mergeCell ref="A46:B47"/>
    <mergeCell ref="C60:C63"/>
    <mergeCell ref="D60:D63"/>
    <mergeCell ref="C64:C67"/>
    <mergeCell ref="D64:D67"/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G73">
    <cfRule type="cellIs" dxfId="15" priority="3" operator="greaterThan">
      <formula>0.02</formula>
    </cfRule>
  </conditionalFormatting>
  <conditionalFormatting sqref="H73">
    <cfRule type="cellIs" dxfId="14" priority="4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zoomScale="50" zoomScaleNormal="40" zoomScalePageLayoutView="50" workbookViewId="0">
      <selection sqref="A1:I7"/>
    </sheetView>
  </sheetViews>
  <sheetFormatPr defaultColWidth="9.140625" defaultRowHeight="13.5" x14ac:dyDescent="0.25"/>
  <cols>
    <col min="1" max="1" width="55.42578125" style="408" customWidth="1"/>
    <col min="2" max="2" width="33.7109375" style="408" customWidth="1"/>
    <col min="3" max="3" width="42.28515625" style="408" customWidth="1"/>
    <col min="4" max="4" width="30.5703125" style="408" customWidth="1"/>
    <col min="5" max="5" width="39.85546875" style="408" customWidth="1"/>
    <col min="6" max="6" width="30.7109375" style="408" customWidth="1"/>
    <col min="7" max="7" width="39.85546875" style="408" customWidth="1"/>
    <col min="8" max="8" width="30" style="408" customWidth="1"/>
    <col min="9" max="9" width="30.28515625" style="408" hidden="1" customWidth="1"/>
    <col min="10" max="10" width="30.42578125" style="408" customWidth="1"/>
    <col min="11" max="11" width="21.28515625" style="408" customWidth="1"/>
    <col min="12" max="12" width="9.140625" style="408"/>
    <col min="13" max="16384" width="9.140625" style="44"/>
  </cols>
  <sheetData>
    <row r="1" spans="1:9" ht="18.75" customHeight="1" x14ac:dyDescent="0.25">
      <c r="A1" s="520" t="s">
        <v>45</v>
      </c>
      <c r="B1" s="520"/>
      <c r="C1" s="520"/>
      <c r="D1" s="520"/>
      <c r="E1" s="520"/>
      <c r="F1" s="520"/>
      <c r="G1" s="520"/>
      <c r="H1" s="520"/>
      <c r="I1" s="520"/>
    </row>
    <row r="2" spans="1:9" ht="18.75" customHeight="1" x14ac:dyDescent="0.25">
      <c r="A2" s="520"/>
      <c r="B2" s="520"/>
      <c r="C2" s="520"/>
      <c r="D2" s="520"/>
      <c r="E2" s="520"/>
      <c r="F2" s="520"/>
      <c r="G2" s="520"/>
      <c r="H2" s="520"/>
      <c r="I2" s="520"/>
    </row>
    <row r="3" spans="1:9" ht="18.75" customHeight="1" x14ac:dyDescent="0.25">
      <c r="A3" s="520"/>
      <c r="B3" s="520"/>
      <c r="C3" s="520"/>
      <c r="D3" s="520"/>
      <c r="E3" s="520"/>
      <c r="F3" s="520"/>
      <c r="G3" s="520"/>
      <c r="H3" s="520"/>
      <c r="I3" s="520"/>
    </row>
    <row r="4" spans="1:9" ht="18.75" customHeight="1" x14ac:dyDescent="0.25">
      <c r="A4" s="520"/>
      <c r="B4" s="520"/>
      <c r="C4" s="520"/>
      <c r="D4" s="520"/>
      <c r="E4" s="520"/>
      <c r="F4" s="520"/>
      <c r="G4" s="520"/>
      <c r="H4" s="520"/>
      <c r="I4" s="520"/>
    </row>
    <row r="5" spans="1:9" ht="18.75" customHeight="1" x14ac:dyDescent="0.25">
      <c r="A5" s="520"/>
      <c r="B5" s="520"/>
      <c r="C5" s="520"/>
      <c r="D5" s="520"/>
      <c r="E5" s="520"/>
      <c r="F5" s="520"/>
      <c r="G5" s="520"/>
      <c r="H5" s="520"/>
      <c r="I5" s="520"/>
    </row>
    <row r="6" spans="1:9" ht="18.75" customHeight="1" x14ac:dyDescent="0.25">
      <c r="A6" s="520"/>
      <c r="B6" s="520"/>
      <c r="C6" s="520"/>
      <c r="D6" s="520"/>
      <c r="E6" s="520"/>
      <c r="F6" s="520"/>
      <c r="G6" s="520"/>
      <c r="H6" s="520"/>
      <c r="I6" s="520"/>
    </row>
    <row r="7" spans="1:9" ht="18.75" customHeight="1" x14ac:dyDescent="0.25">
      <c r="A7" s="520"/>
      <c r="B7" s="520"/>
      <c r="C7" s="520"/>
      <c r="D7" s="520"/>
      <c r="E7" s="520"/>
      <c r="F7" s="520"/>
      <c r="G7" s="520"/>
      <c r="H7" s="520"/>
      <c r="I7" s="520"/>
    </row>
    <row r="8" spans="1:9" x14ac:dyDescent="0.25">
      <c r="A8" s="521" t="s">
        <v>46</v>
      </c>
      <c r="B8" s="521"/>
      <c r="C8" s="521"/>
      <c r="D8" s="521"/>
      <c r="E8" s="521"/>
      <c r="F8" s="521"/>
      <c r="G8" s="521"/>
      <c r="H8" s="521"/>
      <c r="I8" s="521"/>
    </row>
    <row r="9" spans="1:9" x14ac:dyDescent="0.25">
      <c r="A9" s="521"/>
      <c r="B9" s="521"/>
      <c r="C9" s="521"/>
      <c r="D9" s="521"/>
      <c r="E9" s="521"/>
      <c r="F9" s="521"/>
      <c r="G9" s="521"/>
      <c r="H9" s="521"/>
      <c r="I9" s="521"/>
    </row>
    <row r="10" spans="1:9" x14ac:dyDescent="0.25">
      <c r="A10" s="521"/>
      <c r="B10" s="521"/>
      <c r="C10" s="521"/>
      <c r="D10" s="521"/>
      <c r="E10" s="521"/>
      <c r="F10" s="521"/>
      <c r="G10" s="521"/>
      <c r="H10" s="521"/>
      <c r="I10" s="521"/>
    </row>
    <row r="11" spans="1:9" x14ac:dyDescent="0.25">
      <c r="A11" s="521"/>
      <c r="B11" s="521"/>
      <c r="C11" s="521"/>
      <c r="D11" s="521"/>
      <c r="E11" s="521"/>
      <c r="F11" s="521"/>
      <c r="G11" s="521"/>
      <c r="H11" s="521"/>
      <c r="I11" s="521"/>
    </row>
    <row r="12" spans="1:9" x14ac:dyDescent="0.25">
      <c r="A12" s="521"/>
      <c r="B12" s="521"/>
      <c r="C12" s="521"/>
      <c r="D12" s="521"/>
      <c r="E12" s="521"/>
      <c r="F12" s="521"/>
      <c r="G12" s="521"/>
      <c r="H12" s="521"/>
      <c r="I12" s="521"/>
    </row>
    <row r="13" spans="1:9" x14ac:dyDescent="0.25">
      <c r="A13" s="521"/>
      <c r="B13" s="521"/>
      <c r="C13" s="521"/>
      <c r="D13" s="521"/>
      <c r="E13" s="521"/>
      <c r="F13" s="521"/>
      <c r="G13" s="521"/>
      <c r="H13" s="521"/>
      <c r="I13" s="521"/>
    </row>
    <row r="14" spans="1:9" x14ac:dyDescent="0.25">
      <c r="A14" s="521"/>
      <c r="B14" s="521"/>
      <c r="C14" s="521"/>
      <c r="D14" s="521"/>
      <c r="E14" s="521"/>
      <c r="F14" s="521"/>
      <c r="G14" s="521"/>
      <c r="H14" s="521"/>
      <c r="I14" s="521"/>
    </row>
    <row r="15" spans="1:9" ht="19.5" customHeight="1" thickBot="1" x14ac:dyDescent="0.35">
      <c r="A15" s="386"/>
    </row>
    <row r="16" spans="1:9" ht="19.5" customHeight="1" thickBot="1" x14ac:dyDescent="0.35">
      <c r="A16" s="493" t="s">
        <v>31</v>
      </c>
      <c r="B16" s="494"/>
      <c r="C16" s="494"/>
      <c r="D16" s="494"/>
      <c r="E16" s="494"/>
      <c r="F16" s="494"/>
      <c r="G16" s="494"/>
      <c r="H16" s="495"/>
    </row>
    <row r="17" spans="1:14" ht="20.25" customHeight="1" x14ac:dyDescent="0.25">
      <c r="A17" s="496" t="s">
        <v>47</v>
      </c>
      <c r="B17" s="496"/>
      <c r="C17" s="496"/>
      <c r="D17" s="496"/>
      <c r="E17" s="496"/>
      <c r="F17" s="496"/>
      <c r="G17" s="496"/>
      <c r="H17" s="496"/>
    </row>
    <row r="18" spans="1:14" ht="26.25" customHeight="1" x14ac:dyDescent="0.4">
      <c r="A18" s="288" t="s">
        <v>33</v>
      </c>
      <c r="B18" s="492" t="s">
        <v>5</v>
      </c>
      <c r="C18" s="492"/>
      <c r="D18" s="434"/>
      <c r="E18" s="289"/>
      <c r="F18" s="443"/>
      <c r="G18" s="443"/>
      <c r="H18" s="443"/>
    </row>
    <row r="19" spans="1:14" ht="26.25" customHeight="1" x14ac:dyDescent="0.4">
      <c r="A19" s="288" t="s">
        <v>34</v>
      </c>
      <c r="B19" s="477" t="s">
        <v>7</v>
      </c>
      <c r="C19" s="443">
        <v>1</v>
      </c>
      <c r="D19" s="443"/>
      <c r="E19" s="443"/>
      <c r="F19" s="443"/>
      <c r="G19" s="443"/>
      <c r="H19" s="443"/>
    </row>
    <row r="20" spans="1:14" ht="26.25" customHeight="1" x14ac:dyDescent="0.4">
      <c r="A20" s="288" t="s">
        <v>35</v>
      </c>
      <c r="B20" s="497" t="s">
        <v>136</v>
      </c>
      <c r="C20" s="497"/>
      <c r="D20" s="443"/>
      <c r="E20" s="443"/>
      <c r="F20" s="443"/>
      <c r="G20" s="443"/>
      <c r="H20" s="443"/>
    </row>
    <row r="21" spans="1:14" ht="26.25" customHeight="1" x14ac:dyDescent="0.4">
      <c r="A21" s="288" t="s">
        <v>36</v>
      </c>
      <c r="B21" s="497" t="s">
        <v>11</v>
      </c>
      <c r="C21" s="497"/>
      <c r="D21" s="497"/>
      <c r="E21" s="497"/>
      <c r="F21" s="497"/>
      <c r="G21" s="497"/>
      <c r="H21" s="497"/>
      <c r="I21" s="292"/>
    </row>
    <row r="22" spans="1:14" ht="26.25" customHeight="1" x14ac:dyDescent="0.4">
      <c r="A22" s="288" t="s">
        <v>37</v>
      </c>
      <c r="B22" s="293">
        <v>43182</v>
      </c>
      <c r="C22" s="443"/>
      <c r="D22" s="443"/>
      <c r="E22" s="443"/>
      <c r="F22" s="443"/>
      <c r="G22" s="443"/>
      <c r="H22" s="443"/>
    </row>
    <row r="23" spans="1:14" ht="26.25" customHeight="1" x14ac:dyDescent="0.4">
      <c r="A23" s="288" t="s">
        <v>38</v>
      </c>
      <c r="B23" s="293">
        <v>43195</v>
      </c>
      <c r="C23" s="443"/>
      <c r="D23" s="443"/>
      <c r="E23" s="443"/>
      <c r="F23" s="443"/>
      <c r="G23" s="443"/>
      <c r="H23" s="443"/>
    </row>
    <row r="24" spans="1:14" ht="18.75" x14ac:dyDescent="0.3">
      <c r="A24" s="288"/>
      <c r="B24" s="294"/>
    </row>
    <row r="25" spans="1:14" ht="18.75" x14ac:dyDescent="0.3">
      <c r="A25" s="295" t="s">
        <v>1</v>
      </c>
      <c r="B25" s="294"/>
    </row>
    <row r="26" spans="1:14" ht="26.25" customHeight="1" x14ac:dyDescent="0.4">
      <c r="A26" s="428" t="s">
        <v>4</v>
      </c>
      <c r="B26" s="492" t="s">
        <v>136</v>
      </c>
      <c r="C26" s="492"/>
    </row>
    <row r="27" spans="1:14" ht="26.25" customHeight="1" x14ac:dyDescent="0.4">
      <c r="A27" s="397" t="s">
        <v>48</v>
      </c>
      <c r="B27" s="498" t="s">
        <v>137</v>
      </c>
      <c r="C27" s="498"/>
    </row>
    <row r="28" spans="1:14" ht="27" customHeight="1" thickBot="1" x14ac:dyDescent="0.45">
      <c r="A28" s="397" t="s">
        <v>6</v>
      </c>
      <c r="B28" s="389">
        <v>97.21</v>
      </c>
    </row>
    <row r="29" spans="1:14" s="16" customFormat="1" ht="27" customHeight="1" thickBot="1" x14ac:dyDescent="0.45">
      <c r="A29" s="397" t="s">
        <v>49</v>
      </c>
      <c r="B29" s="299">
        <v>0</v>
      </c>
      <c r="C29" s="499" t="s">
        <v>50</v>
      </c>
      <c r="D29" s="500"/>
      <c r="E29" s="500"/>
      <c r="F29" s="500"/>
      <c r="G29" s="501"/>
      <c r="I29" s="300"/>
      <c r="J29" s="300"/>
      <c r="K29" s="300"/>
      <c r="L29" s="300"/>
    </row>
    <row r="30" spans="1:14" s="16" customFormat="1" ht="19.5" customHeight="1" thickBot="1" x14ac:dyDescent="0.35">
      <c r="A30" s="397" t="s">
        <v>51</v>
      </c>
      <c r="B30" s="473">
        <f>B28-B29</f>
        <v>97.21</v>
      </c>
      <c r="C30" s="302"/>
      <c r="D30" s="302"/>
      <c r="E30" s="302"/>
      <c r="F30" s="302"/>
      <c r="G30" s="303"/>
      <c r="I30" s="300"/>
      <c r="J30" s="300"/>
      <c r="K30" s="300"/>
      <c r="L30" s="300"/>
    </row>
    <row r="31" spans="1:14" s="16" customFormat="1" ht="27" customHeight="1" thickBot="1" x14ac:dyDescent="0.45">
      <c r="A31" s="397" t="s">
        <v>52</v>
      </c>
      <c r="B31" s="304">
        <v>1</v>
      </c>
      <c r="C31" s="502" t="s">
        <v>53</v>
      </c>
      <c r="D31" s="503"/>
      <c r="E31" s="503"/>
      <c r="F31" s="503"/>
      <c r="G31" s="503"/>
      <c r="H31" s="504"/>
      <c r="I31" s="300"/>
      <c r="J31" s="300"/>
      <c r="K31" s="300"/>
      <c r="L31" s="300"/>
    </row>
    <row r="32" spans="1:14" s="16" customFormat="1" ht="27" customHeight="1" thickBot="1" x14ac:dyDescent="0.45">
      <c r="A32" s="397" t="s">
        <v>54</v>
      </c>
      <c r="B32" s="304">
        <v>1</v>
      </c>
      <c r="C32" s="502" t="s">
        <v>55</v>
      </c>
      <c r="D32" s="503"/>
      <c r="E32" s="503"/>
      <c r="F32" s="503"/>
      <c r="G32" s="503"/>
      <c r="H32" s="504"/>
      <c r="I32" s="300"/>
      <c r="J32" s="300"/>
      <c r="K32" s="300"/>
      <c r="L32" s="305"/>
      <c r="M32" s="305"/>
      <c r="N32" s="306"/>
    </row>
    <row r="33" spans="1:14" s="16" customFormat="1" ht="17.25" customHeight="1" x14ac:dyDescent="0.3">
      <c r="A33" s="397"/>
      <c r="B33" s="307"/>
      <c r="C33" s="308"/>
      <c r="D33" s="308"/>
      <c r="E33" s="308"/>
      <c r="F33" s="308"/>
      <c r="G33" s="308"/>
      <c r="H33" s="308"/>
      <c r="I33" s="300"/>
      <c r="J33" s="300"/>
      <c r="K33" s="300"/>
      <c r="L33" s="305"/>
      <c r="M33" s="305"/>
      <c r="N33" s="306"/>
    </row>
    <row r="34" spans="1:14" s="16" customFormat="1" ht="18.75" x14ac:dyDescent="0.3">
      <c r="A34" s="397" t="s">
        <v>56</v>
      </c>
      <c r="B34" s="309">
        <f>B31/B32</f>
        <v>1</v>
      </c>
      <c r="C34" s="386" t="s">
        <v>57</v>
      </c>
      <c r="D34" s="386"/>
      <c r="E34" s="386"/>
      <c r="F34" s="386"/>
      <c r="G34" s="386"/>
      <c r="I34" s="300"/>
      <c r="J34" s="300"/>
      <c r="K34" s="300"/>
      <c r="L34" s="305"/>
      <c r="M34" s="305"/>
      <c r="N34" s="306"/>
    </row>
    <row r="35" spans="1:14" s="16" customFormat="1" ht="19.5" customHeight="1" thickBot="1" x14ac:dyDescent="0.35">
      <c r="A35" s="397"/>
      <c r="B35" s="473"/>
      <c r="G35" s="386"/>
      <c r="I35" s="300"/>
      <c r="J35" s="300"/>
      <c r="K35" s="300"/>
      <c r="L35" s="305"/>
      <c r="M35" s="305"/>
      <c r="N35" s="306"/>
    </row>
    <row r="36" spans="1:14" s="16" customFormat="1" ht="27" customHeight="1" thickBot="1" x14ac:dyDescent="0.45">
      <c r="A36" s="310" t="s">
        <v>58</v>
      </c>
      <c r="B36" s="311">
        <v>50</v>
      </c>
      <c r="C36" s="386"/>
      <c r="D36" s="505" t="s">
        <v>59</v>
      </c>
      <c r="E36" s="506"/>
      <c r="F36" s="505" t="s">
        <v>60</v>
      </c>
      <c r="G36" s="507"/>
      <c r="J36" s="300"/>
      <c r="K36" s="300"/>
      <c r="L36" s="305"/>
      <c r="M36" s="305"/>
      <c r="N36" s="306"/>
    </row>
    <row r="37" spans="1:14" s="16" customFormat="1" ht="27" customHeight="1" thickBot="1" x14ac:dyDescent="0.45">
      <c r="A37" s="312" t="s">
        <v>61</v>
      </c>
      <c r="B37" s="313">
        <v>10</v>
      </c>
      <c r="C37" s="314" t="s">
        <v>62</v>
      </c>
      <c r="D37" s="315" t="s">
        <v>63</v>
      </c>
      <c r="E37" s="316" t="s">
        <v>64</v>
      </c>
      <c r="F37" s="315" t="s">
        <v>63</v>
      </c>
      <c r="G37" s="317" t="s">
        <v>64</v>
      </c>
      <c r="I37" s="318" t="s">
        <v>65</v>
      </c>
      <c r="J37" s="300"/>
      <c r="K37" s="300"/>
      <c r="L37" s="305"/>
      <c r="M37" s="305"/>
      <c r="N37" s="306"/>
    </row>
    <row r="38" spans="1:14" s="16" customFormat="1" ht="26.25" customHeight="1" x14ac:dyDescent="0.4">
      <c r="A38" s="312" t="s">
        <v>66</v>
      </c>
      <c r="B38" s="313">
        <v>25</v>
      </c>
      <c r="C38" s="319">
        <v>1</v>
      </c>
      <c r="D38" s="320">
        <v>4087960</v>
      </c>
      <c r="E38" s="321">
        <f>IF(ISBLANK(D38),"-",$D$48/$D$45*D38)</f>
        <v>4141780.2250754018</v>
      </c>
      <c r="F38" s="320">
        <v>4147237</v>
      </c>
      <c r="G38" s="322">
        <f>IF(ISBLANK(F38),"-",$D$48/$F$45*F38)</f>
        <v>4181247.1247377126</v>
      </c>
      <c r="I38" s="323"/>
      <c r="J38" s="300"/>
      <c r="K38" s="300"/>
      <c r="L38" s="305"/>
      <c r="M38" s="305"/>
      <c r="N38" s="306"/>
    </row>
    <row r="39" spans="1:14" s="16" customFormat="1" ht="26.25" customHeight="1" x14ac:dyDescent="0.4">
      <c r="A39" s="312" t="s">
        <v>67</v>
      </c>
      <c r="B39" s="313">
        <v>1</v>
      </c>
      <c r="C39" s="344">
        <v>2</v>
      </c>
      <c r="D39" s="325">
        <v>4123616</v>
      </c>
      <c r="E39" s="326">
        <f>IF(ISBLANK(D39),"-",$D$48/$D$45*D39)</f>
        <v>4177905.6557805184</v>
      </c>
      <c r="F39" s="325">
        <v>4138054</v>
      </c>
      <c r="G39" s="327">
        <f>IF(ISBLANK(F39),"-",$D$48/$F$45*F39)</f>
        <v>4171988.8179791486</v>
      </c>
      <c r="I39" s="509">
        <f>ABS((F43/D43*D42)-F42)/D42</f>
        <v>2.3532879888029947E-3</v>
      </c>
      <c r="J39" s="300"/>
      <c r="K39" s="300"/>
      <c r="L39" s="305"/>
      <c r="M39" s="305"/>
      <c r="N39" s="306"/>
    </row>
    <row r="40" spans="1:14" ht="26.25" customHeight="1" x14ac:dyDescent="0.4">
      <c r="A40" s="312" t="s">
        <v>68</v>
      </c>
      <c r="B40" s="313">
        <v>1</v>
      </c>
      <c r="C40" s="344">
        <v>3</v>
      </c>
      <c r="D40" s="325">
        <v>4120895</v>
      </c>
      <c r="E40" s="326">
        <f>IF(ISBLANK(D40),"-",$D$48/$D$45*D40)</f>
        <v>4175148.8323300858</v>
      </c>
      <c r="F40" s="325">
        <v>4136933</v>
      </c>
      <c r="G40" s="327">
        <f>IF(ISBLANK(F40),"-",$D$48/$F$45*F40)</f>
        <v>4170858.625027352</v>
      </c>
      <c r="I40" s="509"/>
      <c r="L40" s="305"/>
      <c r="M40" s="305"/>
      <c r="N40" s="386"/>
    </row>
    <row r="41" spans="1:14" ht="27" customHeight="1" thickBot="1" x14ac:dyDescent="0.45">
      <c r="A41" s="312" t="s">
        <v>69</v>
      </c>
      <c r="B41" s="313">
        <v>1</v>
      </c>
      <c r="C41" s="329">
        <v>4</v>
      </c>
      <c r="D41" s="330"/>
      <c r="E41" s="331" t="str">
        <f>IF(ISBLANK(D41),"-",$D$48/$D$45*D41)</f>
        <v>-</v>
      </c>
      <c r="F41" s="330"/>
      <c r="G41" s="332" t="str">
        <f>IF(ISBLANK(F41),"-",$D$48/$F$45*F41)</f>
        <v>-</v>
      </c>
      <c r="I41" s="333"/>
      <c r="L41" s="305"/>
      <c r="M41" s="305"/>
      <c r="N41" s="386"/>
    </row>
    <row r="42" spans="1:14" ht="27" customHeight="1" thickBot="1" x14ac:dyDescent="0.45">
      <c r="A42" s="312" t="s">
        <v>70</v>
      </c>
      <c r="B42" s="313">
        <v>1</v>
      </c>
      <c r="C42" s="334" t="s">
        <v>71</v>
      </c>
      <c r="D42" s="335">
        <f>AVERAGE(D38:D41)</f>
        <v>4110823.6666666665</v>
      </c>
      <c r="E42" s="336">
        <f>AVERAGE(E38:E41)</f>
        <v>4164944.9043953349</v>
      </c>
      <c r="F42" s="335">
        <f>AVERAGE(F38:F41)</f>
        <v>4140741.3333333335</v>
      </c>
      <c r="G42" s="337">
        <f>AVERAGE(G38:G41)</f>
        <v>4174698.1892480715</v>
      </c>
      <c r="H42" s="338"/>
    </row>
    <row r="43" spans="1:14" ht="26.25" customHeight="1" x14ac:dyDescent="0.4">
      <c r="A43" s="312" t="s">
        <v>72</v>
      </c>
      <c r="B43" s="313">
        <v>1</v>
      </c>
      <c r="C43" s="339" t="s">
        <v>73</v>
      </c>
      <c r="D43" s="340">
        <v>30.46</v>
      </c>
      <c r="E43" s="386"/>
      <c r="F43" s="340">
        <v>30.61</v>
      </c>
      <c r="H43" s="338"/>
    </row>
    <row r="44" spans="1:14" ht="26.25" customHeight="1" x14ac:dyDescent="0.4">
      <c r="A44" s="312" t="s">
        <v>74</v>
      </c>
      <c r="B44" s="313">
        <v>1</v>
      </c>
      <c r="C44" s="341" t="s">
        <v>75</v>
      </c>
      <c r="D44" s="342">
        <f>D43*$B$34</f>
        <v>30.46</v>
      </c>
      <c r="E44" s="405"/>
      <c r="F44" s="342">
        <f>F43*$B$34</f>
        <v>30.61</v>
      </c>
      <c r="H44" s="338"/>
    </row>
    <row r="45" spans="1:14" ht="19.5" customHeight="1" thickBot="1" x14ac:dyDescent="0.35">
      <c r="A45" s="312" t="s">
        <v>76</v>
      </c>
      <c r="B45" s="344">
        <f>(B44/B43)*(B42/B41)*(B40/B39)*(B38/B37)*B36</f>
        <v>125</v>
      </c>
      <c r="C45" s="341" t="s">
        <v>77</v>
      </c>
      <c r="D45" s="345">
        <f>D44*$B$30/100</f>
        <v>29.610166</v>
      </c>
      <c r="E45" s="382"/>
      <c r="F45" s="345">
        <f>F44*$B$30/100</f>
        <v>29.755980999999998</v>
      </c>
      <c r="H45" s="338"/>
    </row>
    <row r="46" spans="1:14" ht="19.5" customHeight="1" thickBot="1" x14ac:dyDescent="0.35">
      <c r="A46" s="510" t="s">
        <v>78</v>
      </c>
      <c r="B46" s="511"/>
      <c r="C46" s="341" t="s">
        <v>79</v>
      </c>
      <c r="D46" s="347">
        <f>D45/$B$45</f>
        <v>0.236881328</v>
      </c>
      <c r="E46" s="348"/>
      <c r="F46" s="349">
        <f>F45/$B$45</f>
        <v>0.23804784799999998</v>
      </c>
      <c r="H46" s="338"/>
    </row>
    <row r="47" spans="1:14" ht="27" customHeight="1" thickBot="1" x14ac:dyDescent="0.45">
      <c r="A47" s="512"/>
      <c r="B47" s="513"/>
      <c r="C47" s="350" t="s">
        <v>80</v>
      </c>
      <c r="D47" s="351">
        <v>0.24</v>
      </c>
      <c r="E47" s="352"/>
      <c r="F47" s="348"/>
      <c r="H47" s="338"/>
    </row>
    <row r="48" spans="1:14" ht="18.75" x14ac:dyDescent="0.3">
      <c r="C48" s="353" t="s">
        <v>81</v>
      </c>
      <c r="D48" s="345">
        <f>D47*$B$45</f>
        <v>30</v>
      </c>
      <c r="F48" s="354"/>
      <c r="H48" s="338"/>
    </row>
    <row r="49" spans="1:12" ht="19.5" customHeight="1" thickBot="1" x14ac:dyDescent="0.35">
      <c r="C49" s="355" t="s">
        <v>82</v>
      </c>
      <c r="D49" s="356">
        <f>D48/B34</f>
        <v>30</v>
      </c>
      <c r="F49" s="354"/>
      <c r="H49" s="338"/>
    </row>
    <row r="50" spans="1:12" ht="18.75" x14ac:dyDescent="0.3">
      <c r="C50" s="310" t="s">
        <v>83</v>
      </c>
      <c r="D50" s="357">
        <f>AVERAGE(E38:E41,G38:G41)</f>
        <v>4169821.5468217027</v>
      </c>
      <c r="F50" s="358"/>
      <c r="H50" s="338"/>
    </row>
    <row r="51" spans="1:12" ht="18.75" x14ac:dyDescent="0.3">
      <c r="C51" s="312" t="s">
        <v>84</v>
      </c>
      <c r="D51" s="359">
        <f>STDEV(E38:E41,G38:G41)/D50</f>
        <v>3.4191831643053724E-3</v>
      </c>
      <c r="F51" s="358"/>
      <c r="H51" s="338"/>
    </row>
    <row r="52" spans="1:12" ht="19.5" customHeight="1" thickBot="1" x14ac:dyDescent="0.35">
      <c r="C52" s="360" t="s">
        <v>20</v>
      </c>
      <c r="D52" s="361">
        <f>COUNT(E38:E41,G38:G41)</f>
        <v>6</v>
      </c>
      <c r="F52" s="358"/>
    </row>
    <row r="54" spans="1:12" ht="18.75" x14ac:dyDescent="0.3">
      <c r="A54" s="362" t="s">
        <v>1</v>
      </c>
      <c r="B54" s="363" t="s">
        <v>85</v>
      </c>
    </row>
    <row r="55" spans="1:12" ht="18.75" x14ac:dyDescent="0.3">
      <c r="A55" s="386" t="s">
        <v>86</v>
      </c>
      <c r="B55" s="365" t="str">
        <f>B21</f>
        <v>Each film-coated tablet contains: Efavirenz 600 mg, Lamivudine USP 300 mg and Tenofovir DisoproxilFumarate 300 mg equivalent to Tenofovir Disoproxil 245 mg.</v>
      </c>
    </row>
    <row r="56" spans="1:12" ht="26.25" customHeight="1" x14ac:dyDescent="0.4">
      <c r="A56" s="365" t="s">
        <v>87</v>
      </c>
      <c r="B56" s="366">
        <v>600</v>
      </c>
      <c r="C56" s="386" t="str">
        <f>B20</f>
        <v>EFAVIRENZ</v>
      </c>
      <c r="H56" s="405"/>
    </row>
    <row r="57" spans="1:12" ht="18.75" x14ac:dyDescent="0.3">
      <c r="A57" s="365" t="s">
        <v>88</v>
      </c>
      <c r="B57" s="435">
        <f>Uniformity!C46</f>
        <v>1716.0245</v>
      </c>
      <c r="H57" s="405"/>
    </row>
    <row r="58" spans="1:12" ht="19.5" customHeight="1" thickBot="1" x14ac:dyDescent="0.35">
      <c r="H58" s="405"/>
    </row>
    <row r="59" spans="1:12" s="16" customFormat="1" ht="27" customHeight="1" thickBot="1" x14ac:dyDescent="0.45">
      <c r="A59" s="310" t="s">
        <v>89</v>
      </c>
      <c r="B59" s="311">
        <v>250</v>
      </c>
      <c r="C59" s="386"/>
      <c r="D59" s="368" t="s">
        <v>90</v>
      </c>
      <c r="E59" s="458" t="s">
        <v>62</v>
      </c>
      <c r="F59" s="458" t="s">
        <v>63</v>
      </c>
      <c r="G59" s="458" t="s">
        <v>91</v>
      </c>
      <c r="H59" s="314" t="s">
        <v>92</v>
      </c>
      <c r="L59" s="300"/>
    </row>
    <row r="60" spans="1:12" s="16" customFormat="1" ht="26.25" customHeight="1" x14ac:dyDescent="0.4">
      <c r="A60" s="312" t="s">
        <v>93</v>
      </c>
      <c r="B60" s="313">
        <v>10</v>
      </c>
      <c r="C60" s="514" t="s">
        <v>94</v>
      </c>
      <c r="D60" s="517">
        <v>1707.43</v>
      </c>
      <c r="E60" s="463">
        <v>1</v>
      </c>
      <c r="F60" s="371">
        <v>3977498</v>
      </c>
      <c r="G60" s="436">
        <f>IF(ISBLANK(F60),"-",(F60/$D$50*$D$47*$B$68)*($B$57/$D$60))</f>
        <v>575.20721833421737</v>
      </c>
      <c r="H60" s="454">
        <f t="shared" ref="H60:H71" si="0">IF(ISBLANK(F60),"-",(G60/$B$56)*100)</f>
        <v>95.867869722369562</v>
      </c>
      <c r="L60" s="300"/>
    </row>
    <row r="61" spans="1:12" s="16" customFormat="1" ht="26.25" customHeight="1" x14ac:dyDescent="0.4">
      <c r="A61" s="312" t="s">
        <v>95</v>
      </c>
      <c r="B61" s="313">
        <v>100</v>
      </c>
      <c r="C61" s="515"/>
      <c r="D61" s="518"/>
      <c r="E61" s="459">
        <v>2</v>
      </c>
      <c r="F61" s="325">
        <v>4006731</v>
      </c>
      <c r="G61" s="437">
        <f>IF(ISBLANK(F61),"-",(F61/$D$50*$D$47*$B$68)*($B$57/$D$60))</f>
        <v>579.43475851489484</v>
      </c>
      <c r="H61" s="455">
        <f t="shared" si="0"/>
        <v>96.572459752482473</v>
      </c>
      <c r="L61" s="300"/>
    </row>
    <row r="62" spans="1:12" s="16" customFormat="1" ht="26.25" customHeight="1" x14ac:dyDescent="0.4">
      <c r="A62" s="312" t="s">
        <v>96</v>
      </c>
      <c r="B62" s="313">
        <v>1</v>
      </c>
      <c r="C62" s="515"/>
      <c r="D62" s="518"/>
      <c r="E62" s="459">
        <v>3</v>
      </c>
      <c r="F62" s="373">
        <v>3987693</v>
      </c>
      <c r="G62" s="437">
        <f>IF(ISBLANK(F62),"-",(F62/$D$50*$D$47*$B$68)*($B$57/$D$60))</f>
        <v>576.68157170684447</v>
      </c>
      <c r="H62" s="455">
        <f t="shared" si="0"/>
        <v>96.113595284474073</v>
      </c>
      <c r="L62" s="300"/>
    </row>
    <row r="63" spans="1:12" ht="27" customHeight="1" thickBot="1" x14ac:dyDescent="0.45">
      <c r="A63" s="312" t="s">
        <v>97</v>
      </c>
      <c r="B63" s="313">
        <v>1</v>
      </c>
      <c r="C63" s="516"/>
      <c r="D63" s="519"/>
      <c r="E63" s="460">
        <v>4</v>
      </c>
      <c r="F63" s="375"/>
      <c r="G63" s="437" t="str">
        <f>IF(ISBLANK(F63),"-",(F63/$D$50*$D$47*$B$68)*($B$57/$D$60))</f>
        <v>-</v>
      </c>
      <c r="H63" s="455" t="str">
        <f t="shared" si="0"/>
        <v>-</v>
      </c>
    </row>
    <row r="64" spans="1:12" ht="26.25" customHeight="1" x14ac:dyDescent="0.4">
      <c r="A64" s="312" t="s">
        <v>98</v>
      </c>
      <c r="B64" s="313">
        <v>1</v>
      </c>
      <c r="C64" s="514" t="s">
        <v>99</v>
      </c>
      <c r="D64" s="517">
        <v>1719.5</v>
      </c>
      <c r="E64" s="463">
        <v>1</v>
      </c>
      <c r="F64" s="371">
        <v>4055858</v>
      </c>
      <c r="G64" s="436">
        <f>IF(ISBLANK(F64),"-",(F64/$D$50*$D$47*$B$68)*($B$57/$D$64))</f>
        <v>582.42207410216531</v>
      </c>
      <c r="H64" s="454">
        <f t="shared" si="0"/>
        <v>97.070345683694214</v>
      </c>
    </row>
    <row r="65" spans="1:8" ht="26.25" customHeight="1" x14ac:dyDescent="0.4">
      <c r="A65" s="312" t="s">
        <v>100</v>
      </c>
      <c r="B65" s="313">
        <v>1</v>
      </c>
      <c r="C65" s="515"/>
      <c r="D65" s="518"/>
      <c r="E65" s="459">
        <v>2</v>
      </c>
      <c r="F65" s="325">
        <v>4083900</v>
      </c>
      <c r="G65" s="437">
        <f>IF(ISBLANK(F65),"-",(F65/$D$50*$D$47*$B$68)*($B$57/$D$64))</f>
        <v>586.44891128482129</v>
      </c>
      <c r="H65" s="455">
        <f t="shared" si="0"/>
        <v>97.741485214136887</v>
      </c>
    </row>
    <row r="66" spans="1:8" ht="26.25" customHeight="1" x14ac:dyDescent="0.4">
      <c r="A66" s="312" t="s">
        <v>101</v>
      </c>
      <c r="B66" s="313">
        <v>1</v>
      </c>
      <c r="C66" s="515"/>
      <c r="D66" s="518"/>
      <c r="E66" s="459">
        <v>3</v>
      </c>
      <c r="F66" s="325">
        <v>4063639</v>
      </c>
      <c r="G66" s="437">
        <f>IF(ISBLANK(F66),"-",(F66/$D$50*$D$47*$B$68)*($B$57/$D$64))</f>
        <v>583.53942736221256</v>
      </c>
      <c r="H66" s="455">
        <f t="shared" si="0"/>
        <v>97.256571227035423</v>
      </c>
    </row>
    <row r="67" spans="1:8" ht="27" customHeight="1" thickBot="1" x14ac:dyDescent="0.45">
      <c r="A67" s="312" t="s">
        <v>102</v>
      </c>
      <c r="B67" s="313">
        <v>1</v>
      </c>
      <c r="C67" s="516"/>
      <c r="D67" s="519"/>
      <c r="E67" s="460">
        <v>4</v>
      </c>
      <c r="F67" s="375"/>
      <c r="G67" s="453" t="str">
        <f>IF(ISBLANK(F67),"-",(F67/$D$50*$D$47*$B$68)*($B$57/$D$64))</f>
        <v>-</v>
      </c>
      <c r="H67" s="456" t="str">
        <f t="shared" si="0"/>
        <v>-</v>
      </c>
    </row>
    <row r="68" spans="1:8" ht="26.25" customHeight="1" x14ac:dyDescent="0.4">
      <c r="A68" s="312" t="s">
        <v>103</v>
      </c>
      <c r="B68" s="376">
        <f>(B67/B66)*(B65/B64)*(B63/B62)*(B61/B60)*B59</f>
        <v>2500</v>
      </c>
      <c r="C68" s="514" t="s">
        <v>104</v>
      </c>
      <c r="D68" s="517">
        <v>1716.22</v>
      </c>
      <c r="E68" s="463">
        <v>1</v>
      </c>
      <c r="F68" s="371">
        <v>3991761</v>
      </c>
      <c r="G68" s="436">
        <f>IF(ISBLANK(F68),"-",(F68/$D$50*$D$47*$B$68)*($B$57/$D$68))</f>
        <v>574.31325170744947</v>
      </c>
      <c r="H68" s="455">
        <f t="shared" si="0"/>
        <v>95.718875284574906</v>
      </c>
    </row>
    <row r="69" spans="1:8" ht="27" customHeight="1" thickBot="1" x14ac:dyDescent="0.45">
      <c r="A69" s="360" t="s">
        <v>105</v>
      </c>
      <c r="B69" s="377">
        <f>(D47*B68)/B56*B57</f>
        <v>1716.0245</v>
      </c>
      <c r="C69" s="515"/>
      <c r="D69" s="518"/>
      <c r="E69" s="459">
        <v>2</v>
      </c>
      <c r="F69" s="325">
        <v>4003344</v>
      </c>
      <c r="G69" s="437">
        <f>IF(ISBLANK(F69),"-",(F69/$D$50*$D$47*$B$68)*($B$57/$D$68))</f>
        <v>575.97975187981126</v>
      </c>
      <c r="H69" s="455">
        <f t="shared" si="0"/>
        <v>95.996625313301877</v>
      </c>
    </row>
    <row r="70" spans="1:8" ht="26.25" customHeight="1" x14ac:dyDescent="0.4">
      <c r="A70" s="527" t="s">
        <v>78</v>
      </c>
      <c r="B70" s="528"/>
      <c r="C70" s="515"/>
      <c r="D70" s="518"/>
      <c r="E70" s="459">
        <v>3</v>
      </c>
      <c r="F70" s="325">
        <v>4031149</v>
      </c>
      <c r="G70" s="437">
        <f>IF(ISBLANK(F70),"-",(F70/$D$50*$D$47*$B$68)*($B$57/$D$68))</f>
        <v>579.98018676650054</v>
      </c>
      <c r="H70" s="455">
        <f t="shared" si="0"/>
        <v>96.663364461083418</v>
      </c>
    </row>
    <row r="71" spans="1:8" ht="27" customHeight="1" thickBot="1" x14ac:dyDescent="0.45">
      <c r="A71" s="529"/>
      <c r="B71" s="530"/>
      <c r="C71" s="526"/>
      <c r="D71" s="519"/>
      <c r="E71" s="460">
        <v>4</v>
      </c>
      <c r="F71" s="375"/>
      <c r="G71" s="453" t="str">
        <f>IF(ISBLANK(F71),"-",(F71/$D$50*$D$47*$B$68)*($B$57/$D$68))</f>
        <v>-</v>
      </c>
      <c r="H71" s="456" t="str">
        <f t="shared" si="0"/>
        <v>-</v>
      </c>
    </row>
    <row r="72" spans="1:8" ht="26.25" customHeight="1" x14ac:dyDescent="0.4">
      <c r="A72" s="405"/>
      <c r="B72" s="405"/>
      <c r="C72" s="405"/>
      <c r="D72" s="405"/>
      <c r="E72" s="405"/>
      <c r="F72" s="380" t="s">
        <v>71</v>
      </c>
      <c r="G72" s="442">
        <f>AVERAGE(G60:G71)</f>
        <v>579.334127962102</v>
      </c>
      <c r="H72" s="457">
        <f>AVERAGE(H60:H71)</f>
        <v>96.555687993683648</v>
      </c>
    </row>
    <row r="73" spans="1:8" ht="26.25" customHeight="1" x14ac:dyDescent="0.4">
      <c r="C73" s="405"/>
      <c r="D73" s="405"/>
      <c r="E73" s="405"/>
      <c r="F73" s="381" t="s">
        <v>84</v>
      </c>
      <c r="G73" s="444">
        <f>STDEV(G60:G71)/G72</f>
        <v>7.1897619085752543E-3</v>
      </c>
      <c r="H73" s="444">
        <f>STDEV(H60:H71)/H72</f>
        <v>7.1897619085752647E-3</v>
      </c>
    </row>
    <row r="74" spans="1:8" ht="27" customHeight="1" thickBot="1" x14ac:dyDescent="0.45">
      <c r="A74" s="405"/>
      <c r="B74" s="405"/>
      <c r="C74" s="405"/>
      <c r="D74" s="405"/>
      <c r="E74" s="382"/>
      <c r="F74" s="383" t="s">
        <v>20</v>
      </c>
      <c r="G74" s="384">
        <f>COUNT(G60:G71)</f>
        <v>9</v>
      </c>
      <c r="H74" s="384">
        <f>COUNT(H60:H71)</f>
        <v>9</v>
      </c>
    </row>
    <row r="76" spans="1:8" ht="26.25" customHeight="1" x14ac:dyDescent="0.4">
      <c r="A76" s="428" t="s">
        <v>106</v>
      </c>
      <c r="B76" s="397" t="s">
        <v>107</v>
      </c>
      <c r="C76" s="522" t="str">
        <f>B26</f>
        <v>EFAVIRENZ</v>
      </c>
      <c r="D76" s="522"/>
      <c r="E76" s="386" t="s">
        <v>108</v>
      </c>
      <c r="F76" s="386"/>
      <c r="G76" s="479">
        <f>H72</f>
        <v>96.555687993683648</v>
      </c>
      <c r="H76" s="473"/>
    </row>
    <row r="77" spans="1:8" ht="18.75" x14ac:dyDescent="0.3">
      <c r="A77" s="295" t="s">
        <v>109</v>
      </c>
      <c r="B77" s="295" t="s">
        <v>110</v>
      </c>
    </row>
    <row r="78" spans="1:8" ht="18.75" x14ac:dyDescent="0.3">
      <c r="A78" s="295"/>
      <c r="B78" s="295"/>
    </row>
    <row r="79" spans="1:8" ht="26.25" customHeight="1" x14ac:dyDescent="0.4">
      <c r="A79" s="428" t="s">
        <v>4</v>
      </c>
      <c r="B79" s="508" t="str">
        <f>B26</f>
        <v>EFAVIRENZ</v>
      </c>
      <c r="C79" s="508"/>
    </row>
    <row r="80" spans="1:8" ht="26.25" customHeight="1" x14ac:dyDescent="0.4">
      <c r="A80" s="397" t="s">
        <v>48</v>
      </c>
      <c r="B80" s="508" t="str">
        <f>B27</f>
        <v>E15-6</v>
      </c>
      <c r="C80" s="508"/>
    </row>
    <row r="81" spans="1:12" ht="27" customHeight="1" thickBot="1" x14ac:dyDescent="0.45">
      <c r="A81" s="397" t="s">
        <v>6</v>
      </c>
      <c r="B81" s="389">
        <f>B28</f>
        <v>97.21</v>
      </c>
    </row>
    <row r="82" spans="1:12" s="16" customFormat="1" ht="27" customHeight="1" thickBot="1" x14ac:dyDescent="0.45">
      <c r="A82" s="397" t="s">
        <v>49</v>
      </c>
      <c r="B82" s="299">
        <v>0</v>
      </c>
      <c r="C82" s="499" t="s">
        <v>50</v>
      </c>
      <c r="D82" s="500"/>
      <c r="E82" s="500"/>
      <c r="F82" s="500"/>
      <c r="G82" s="501"/>
      <c r="I82" s="300"/>
      <c r="J82" s="300"/>
      <c r="K82" s="300"/>
      <c r="L82" s="300"/>
    </row>
    <row r="83" spans="1:12" s="16" customFormat="1" ht="19.5" customHeight="1" thickBot="1" x14ac:dyDescent="0.35">
      <c r="A83" s="397" t="s">
        <v>51</v>
      </c>
      <c r="B83" s="473">
        <f>B81-B82</f>
        <v>97.21</v>
      </c>
      <c r="C83" s="302"/>
      <c r="D83" s="302"/>
      <c r="E83" s="302"/>
      <c r="F83" s="302"/>
      <c r="G83" s="303"/>
      <c r="I83" s="300"/>
      <c r="J83" s="300"/>
      <c r="K83" s="300"/>
      <c r="L83" s="300"/>
    </row>
    <row r="84" spans="1:12" s="16" customFormat="1" ht="27" customHeight="1" thickBot="1" x14ac:dyDescent="0.45">
      <c r="A84" s="397" t="s">
        <v>52</v>
      </c>
      <c r="B84" s="304">
        <v>1</v>
      </c>
      <c r="C84" s="502" t="s">
        <v>111</v>
      </c>
      <c r="D84" s="503"/>
      <c r="E84" s="503"/>
      <c r="F84" s="503"/>
      <c r="G84" s="503"/>
      <c r="H84" s="504"/>
      <c r="I84" s="300"/>
      <c r="J84" s="300"/>
      <c r="K84" s="300"/>
      <c r="L84" s="300"/>
    </row>
    <row r="85" spans="1:12" s="16" customFormat="1" ht="27" customHeight="1" thickBot="1" x14ac:dyDescent="0.45">
      <c r="A85" s="397" t="s">
        <v>54</v>
      </c>
      <c r="B85" s="304">
        <v>1</v>
      </c>
      <c r="C85" s="502" t="s">
        <v>112</v>
      </c>
      <c r="D85" s="503"/>
      <c r="E85" s="503"/>
      <c r="F85" s="503"/>
      <c r="G85" s="503"/>
      <c r="H85" s="504"/>
      <c r="I85" s="300"/>
      <c r="J85" s="300"/>
      <c r="K85" s="300"/>
      <c r="L85" s="300"/>
    </row>
    <row r="86" spans="1:12" s="16" customFormat="1" ht="18.75" x14ac:dyDescent="0.3">
      <c r="A86" s="397"/>
      <c r="B86" s="307"/>
      <c r="C86" s="308"/>
      <c r="D86" s="308"/>
      <c r="E86" s="308"/>
      <c r="F86" s="308"/>
      <c r="G86" s="308"/>
      <c r="H86" s="308"/>
      <c r="I86" s="300"/>
      <c r="J86" s="300"/>
      <c r="K86" s="300"/>
      <c r="L86" s="300"/>
    </row>
    <row r="87" spans="1:12" s="16" customFormat="1" ht="18.75" x14ac:dyDescent="0.3">
      <c r="A87" s="397" t="s">
        <v>56</v>
      </c>
      <c r="B87" s="309">
        <f>B84/B85</f>
        <v>1</v>
      </c>
      <c r="C87" s="386" t="s">
        <v>57</v>
      </c>
      <c r="D87" s="386"/>
      <c r="E87" s="386"/>
      <c r="F87" s="386"/>
      <c r="G87" s="386"/>
      <c r="I87" s="300"/>
      <c r="J87" s="300"/>
      <c r="K87" s="300"/>
      <c r="L87" s="300"/>
    </row>
    <row r="88" spans="1:12" ht="19.5" customHeight="1" thickBot="1" x14ac:dyDescent="0.35">
      <c r="A88" s="295"/>
      <c r="B88" s="295"/>
    </row>
    <row r="89" spans="1:12" ht="27" customHeight="1" thickBot="1" x14ac:dyDescent="0.45">
      <c r="A89" s="310" t="s">
        <v>58</v>
      </c>
      <c r="B89" s="311">
        <v>50</v>
      </c>
      <c r="D89" s="475" t="s">
        <v>59</v>
      </c>
      <c r="E89" s="478"/>
      <c r="F89" s="505" t="s">
        <v>60</v>
      </c>
      <c r="G89" s="507"/>
    </row>
    <row r="90" spans="1:12" ht="27" customHeight="1" thickBot="1" x14ac:dyDescent="0.45">
      <c r="A90" s="312" t="s">
        <v>61</v>
      </c>
      <c r="B90" s="313">
        <v>1</v>
      </c>
      <c r="C90" s="474" t="s">
        <v>62</v>
      </c>
      <c r="D90" s="315" t="s">
        <v>63</v>
      </c>
      <c r="E90" s="316" t="s">
        <v>64</v>
      </c>
      <c r="F90" s="315" t="s">
        <v>63</v>
      </c>
      <c r="G90" s="393" t="s">
        <v>64</v>
      </c>
      <c r="I90" s="318" t="s">
        <v>65</v>
      </c>
    </row>
    <row r="91" spans="1:12" ht="26.25" customHeight="1" x14ac:dyDescent="0.4">
      <c r="A91" s="312" t="s">
        <v>66</v>
      </c>
      <c r="B91" s="313">
        <v>1</v>
      </c>
      <c r="C91" s="394">
        <v>1</v>
      </c>
      <c r="D91" s="320">
        <v>2413283</v>
      </c>
      <c r="E91" s="321">
        <f>IF(ISBLANK(D91),"-",$D$101/$D$98*D91)</f>
        <v>2312213.0093374155</v>
      </c>
      <c r="F91" s="320">
        <v>2341656</v>
      </c>
      <c r="G91" s="322">
        <f>IF(ISBLANK(F91),"-",$D$101/$F$98*F91)</f>
        <v>2309552.5270088194</v>
      </c>
      <c r="I91" s="323"/>
    </row>
    <row r="92" spans="1:12" ht="26.25" customHeight="1" x14ac:dyDescent="0.4">
      <c r="A92" s="312" t="s">
        <v>67</v>
      </c>
      <c r="B92" s="313">
        <v>1</v>
      </c>
      <c r="C92" s="405">
        <v>2</v>
      </c>
      <c r="D92" s="325">
        <v>2407658</v>
      </c>
      <c r="E92" s="326">
        <f>IF(ISBLANK(D92),"-",$D$101/$D$98*D92)</f>
        <v>2306823.5882966495</v>
      </c>
      <c r="F92" s="325">
        <v>2340072</v>
      </c>
      <c r="G92" s="327">
        <f>IF(ISBLANK(F92),"-",$D$101/$F$98*F92)</f>
        <v>2307990.2432221398</v>
      </c>
      <c r="I92" s="509">
        <f>ABS((F96/D96*D95)-F95)/D95</f>
        <v>6.4229912366581699E-4</v>
      </c>
    </row>
    <row r="93" spans="1:12" ht="26.25" customHeight="1" x14ac:dyDescent="0.4">
      <c r="A93" s="312" t="s">
        <v>68</v>
      </c>
      <c r="B93" s="313">
        <v>1</v>
      </c>
      <c r="C93" s="405">
        <v>3</v>
      </c>
      <c r="D93" s="325">
        <v>2418605</v>
      </c>
      <c r="E93" s="326">
        <f>IF(ISBLANK(D93),"-",$D$101/$D$98*D93)</f>
        <v>2317312.1202314524</v>
      </c>
      <c r="F93" s="325">
        <v>2355688</v>
      </c>
      <c r="G93" s="327">
        <f>IF(ISBLANK(F93),"-",$D$101/$F$98*F93)</f>
        <v>2323392.152068601</v>
      </c>
      <c r="I93" s="509"/>
    </row>
    <row r="94" spans="1:12" ht="27" customHeight="1" thickBot="1" x14ac:dyDescent="0.45">
      <c r="A94" s="312" t="s">
        <v>69</v>
      </c>
      <c r="B94" s="313">
        <v>1</v>
      </c>
      <c r="C94" s="395">
        <v>4</v>
      </c>
      <c r="D94" s="330"/>
      <c r="E94" s="331" t="str">
        <f>IF(ISBLANK(D94),"-",$D$101/$D$98*D94)</f>
        <v>-</v>
      </c>
      <c r="F94" s="396"/>
      <c r="G94" s="332" t="str">
        <f>IF(ISBLANK(F94),"-",$D$101/$F$98*F94)</f>
        <v>-</v>
      </c>
      <c r="I94" s="333"/>
    </row>
    <row r="95" spans="1:12" ht="27" customHeight="1" thickBot="1" x14ac:dyDescent="0.45">
      <c r="A95" s="312" t="s">
        <v>70</v>
      </c>
      <c r="B95" s="313">
        <v>1</v>
      </c>
      <c r="C95" s="397" t="s">
        <v>71</v>
      </c>
      <c r="D95" s="398">
        <f>AVERAGE(D91:D94)</f>
        <v>2413182</v>
      </c>
      <c r="E95" s="336">
        <f>AVERAGE(E91:E94)</f>
        <v>2312116.2392885056</v>
      </c>
      <c r="F95" s="399">
        <f>AVERAGE(F91:F94)</f>
        <v>2345805.3333333335</v>
      </c>
      <c r="G95" s="400">
        <f>AVERAGE(G91:G94)</f>
        <v>2313644.9740998535</v>
      </c>
    </row>
    <row r="96" spans="1:12" ht="26.25" customHeight="1" x14ac:dyDescent="0.4">
      <c r="A96" s="312" t="s">
        <v>72</v>
      </c>
      <c r="B96" s="389">
        <v>1</v>
      </c>
      <c r="C96" s="401" t="s">
        <v>113</v>
      </c>
      <c r="D96" s="402">
        <v>32.21</v>
      </c>
      <c r="E96" s="386"/>
      <c r="F96" s="340">
        <v>31.29</v>
      </c>
    </row>
    <row r="97" spans="1:10" ht="26.25" customHeight="1" x14ac:dyDescent="0.4">
      <c r="A97" s="312" t="s">
        <v>74</v>
      </c>
      <c r="B97" s="389">
        <v>1</v>
      </c>
      <c r="C97" s="403" t="s">
        <v>114</v>
      </c>
      <c r="D97" s="404">
        <f>D96*$B$87</f>
        <v>32.21</v>
      </c>
      <c r="E97" s="405"/>
      <c r="F97" s="342">
        <f>F96*$B$87</f>
        <v>31.29</v>
      </c>
    </row>
    <row r="98" spans="1:10" ht="19.5" customHeight="1" thickBot="1" x14ac:dyDescent="0.35">
      <c r="A98" s="312" t="s">
        <v>76</v>
      </c>
      <c r="B98" s="405">
        <f>(B97/B96)*(B95/B94)*(B93/B92)*(B91/B90)*B89</f>
        <v>50</v>
      </c>
      <c r="C98" s="403" t="s">
        <v>115</v>
      </c>
      <c r="D98" s="406">
        <f>D97*$B$83/100</f>
        <v>31.311340999999999</v>
      </c>
      <c r="E98" s="382"/>
      <c r="F98" s="345">
        <f>F97*$B$83/100</f>
        <v>30.417008999999997</v>
      </c>
    </row>
    <row r="99" spans="1:10" ht="19.5" customHeight="1" thickBot="1" x14ac:dyDescent="0.35">
      <c r="A99" s="510" t="s">
        <v>78</v>
      </c>
      <c r="B99" s="524"/>
      <c r="C99" s="403" t="s">
        <v>116</v>
      </c>
      <c r="D99" s="407">
        <f>D98/$B$98</f>
        <v>0.62622681999999996</v>
      </c>
      <c r="E99" s="382"/>
      <c r="F99" s="349">
        <f>F98/$B$98</f>
        <v>0.6083401799999999</v>
      </c>
      <c r="H99" s="338"/>
    </row>
    <row r="100" spans="1:10" ht="19.5" customHeight="1" thickBot="1" x14ac:dyDescent="0.35">
      <c r="A100" s="512"/>
      <c r="B100" s="525"/>
      <c r="C100" s="403" t="s">
        <v>80</v>
      </c>
      <c r="D100" s="409">
        <f>$B$56/$B$116</f>
        <v>0.6</v>
      </c>
      <c r="F100" s="354"/>
      <c r="G100" s="416"/>
      <c r="H100" s="338"/>
    </row>
    <row r="101" spans="1:10" ht="18.75" x14ac:dyDescent="0.3">
      <c r="C101" s="403" t="s">
        <v>81</v>
      </c>
      <c r="D101" s="404">
        <f>D100*$B$98</f>
        <v>30</v>
      </c>
      <c r="F101" s="354"/>
      <c r="H101" s="338"/>
    </row>
    <row r="102" spans="1:10" ht="19.5" customHeight="1" thickBot="1" x14ac:dyDescent="0.35">
      <c r="C102" s="411" t="s">
        <v>82</v>
      </c>
      <c r="D102" s="412">
        <f>D101/B34</f>
        <v>30</v>
      </c>
      <c r="F102" s="358"/>
      <c r="H102" s="338"/>
      <c r="J102" s="413"/>
    </row>
    <row r="103" spans="1:10" ht="18.75" x14ac:dyDescent="0.3">
      <c r="C103" s="414" t="s">
        <v>117</v>
      </c>
      <c r="D103" s="415">
        <f>AVERAGE(E91:E94,G91:G94)</f>
        <v>2312880.6066941791</v>
      </c>
      <c r="F103" s="358"/>
      <c r="G103" s="416"/>
      <c r="H103" s="338"/>
      <c r="J103" s="417"/>
    </row>
    <row r="104" spans="1:10" ht="18.75" x14ac:dyDescent="0.3">
      <c r="C104" s="381" t="s">
        <v>84</v>
      </c>
      <c r="D104" s="418">
        <f>STDEV(E91:E94,G91:G94)/D103</f>
        <v>2.749870887016614E-3</v>
      </c>
      <c r="F104" s="358"/>
      <c r="H104" s="338"/>
      <c r="J104" s="417"/>
    </row>
    <row r="105" spans="1:10" ht="19.5" customHeight="1" thickBot="1" x14ac:dyDescent="0.35">
      <c r="C105" s="383" t="s">
        <v>20</v>
      </c>
      <c r="D105" s="419">
        <f>COUNT(E91:E94,G91:G94)</f>
        <v>6</v>
      </c>
      <c r="F105" s="358"/>
      <c r="H105" s="338"/>
      <c r="J105" s="417"/>
    </row>
    <row r="106" spans="1:10" ht="19.5" customHeight="1" thickBot="1" x14ac:dyDescent="0.35">
      <c r="A106" s="362"/>
      <c r="B106" s="362"/>
      <c r="C106" s="362"/>
      <c r="D106" s="362"/>
      <c r="E106" s="362"/>
    </row>
    <row r="107" spans="1:10" ht="27" customHeight="1" thickBot="1" x14ac:dyDescent="0.45">
      <c r="A107" s="310" t="s">
        <v>118</v>
      </c>
      <c r="B107" s="311">
        <v>1000</v>
      </c>
      <c r="C107" s="458" t="s">
        <v>119</v>
      </c>
      <c r="D107" s="458" t="s">
        <v>63</v>
      </c>
      <c r="E107" s="458" t="s">
        <v>120</v>
      </c>
      <c r="F107" s="420" t="s">
        <v>121</v>
      </c>
    </row>
    <row r="108" spans="1:10" ht="26.25" customHeight="1" x14ac:dyDescent="0.4">
      <c r="A108" s="312" t="s">
        <v>122</v>
      </c>
      <c r="B108" s="313">
        <v>1</v>
      </c>
      <c r="C108" s="463">
        <v>1</v>
      </c>
      <c r="D108" s="464">
        <v>2288284</v>
      </c>
      <c r="E108" s="438">
        <f t="shared" ref="E108:E113" si="1">IF(ISBLANK(D108),"-",D108/$D$103*$D$100*$B$116)</f>
        <v>593.6192279126758</v>
      </c>
      <c r="F108" s="465">
        <f t="shared" ref="F108:F113" si="2">IF(ISBLANK(D108), "-", (E108/$B$56)*100)</f>
        <v>98.936537985445966</v>
      </c>
    </row>
    <row r="109" spans="1:10" ht="26.25" customHeight="1" x14ac:dyDescent="0.4">
      <c r="A109" s="312" t="s">
        <v>95</v>
      </c>
      <c r="B109" s="313">
        <v>1</v>
      </c>
      <c r="C109" s="459">
        <v>2</v>
      </c>
      <c r="D109" s="461">
        <v>2262818</v>
      </c>
      <c r="E109" s="439">
        <f t="shared" si="1"/>
        <v>587.01292062825485</v>
      </c>
      <c r="F109" s="468">
        <f t="shared" si="2"/>
        <v>97.835486771375813</v>
      </c>
    </row>
    <row r="110" spans="1:10" ht="26.25" customHeight="1" x14ac:dyDescent="0.4">
      <c r="A110" s="312" t="s">
        <v>96</v>
      </c>
      <c r="B110" s="313">
        <v>1</v>
      </c>
      <c r="C110" s="459">
        <v>3</v>
      </c>
      <c r="D110" s="461">
        <v>2288619</v>
      </c>
      <c r="E110" s="439">
        <f t="shared" si="1"/>
        <v>593.70613252825274</v>
      </c>
      <c r="F110" s="468">
        <f t="shared" si="2"/>
        <v>98.951022088042123</v>
      </c>
    </row>
    <row r="111" spans="1:10" ht="26.25" customHeight="1" x14ac:dyDescent="0.4">
      <c r="A111" s="312" t="s">
        <v>97</v>
      </c>
      <c r="B111" s="313">
        <v>1</v>
      </c>
      <c r="C111" s="459">
        <v>4</v>
      </c>
      <c r="D111" s="461">
        <v>2274015</v>
      </c>
      <c r="E111" s="439">
        <f t="shared" si="1"/>
        <v>589.91761012262623</v>
      </c>
      <c r="F111" s="468">
        <f t="shared" si="2"/>
        <v>98.319601687104381</v>
      </c>
    </row>
    <row r="112" spans="1:10" ht="26.25" customHeight="1" x14ac:dyDescent="0.4">
      <c r="A112" s="312" t="s">
        <v>98</v>
      </c>
      <c r="B112" s="313">
        <v>1</v>
      </c>
      <c r="C112" s="459">
        <v>5</v>
      </c>
      <c r="D112" s="461">
        <v>2298250</v>
      </c>
      <c r="E112" s="439">
        <f t="shared" si="1"/>
        <v>596.20457537189759</v>
      </c>
      <c r="F112" s="468">
        <f t="shared" si="2"/>
        <v>99.367429228649598</v>
      </c>
    </row>
    <row r="113" spans="1:10" ht="27" customHeight="1" thickBot="1" x14ac:dyDescent="0.45">
      <c r="A113" s="312" t="s">
        <v>100</v>
      </c>
      <c r="B113" s="313">
        <v>1</v>
      </c>
      <c r="C113" s="460">
        <v>6</v>
      </c>
      <c r="D113" s="462">
        <v>2307772</v>
      </c>
      <c r="E113" s="440">
        <f t="shared" si="1"/>
        <v>598.67474178838461</v>
      </c>
      <c r="F113" s="467">
        <f t="shared" si="2"/>
        <v>99.779123631397439</v>
      </c>
    </row>
    <row r="114" spans="1:10" ht="27" customHeight="1" thickBot="1" x14ac:dyDescent="0.45">
      <c r="A114" s="312" t="s">
        <v>101</v>
      </c>
      <c r="B114" s="313">
        <v>1</v>
      </c>
      <c r="C114" s="421"/>
      <c r="D114" s="405"/>
      <c r="E114" s="386"/>
      <c r="F114" s="468"/>
    </row>
    <row r="115" spans="1:10" ht="26.25" customHeight="1" x14ac:dyDescent="0.4">
      <c r="A115" s="312" t="s">
        <v>102</v>
      </c>
      <c r="B115" s="313">
        <v>1</v>
      </c>
      <c r="C115" s="421"/>
      <c r="D115" s="445" t="s">
        <v>71</v>
      </c>
      <c r="E115" s="447">
        <f>AVERAGE(E108:E113)</f>
        <v>593.18920139201521</v>
      </c>
      <c r="F115" s="469">
        <f>AVERAGE(F108:F113)</f>
        <v>98.86486689866922</v>
      </c>
    </row>
    <row r="116" spans="1:10" ht="27" customHeight="1" thickBot="1" x14ac:dyDescent="0.45">
      <c r="A116" s="312" t="s">
        <v>103</v>
      </c>
      <c r="B116" s="344">
        <f>(B115/B114)*(B113/B112)*(B111/B110)*(B109/B108)*B107</f>
        <v>1000</v>
      </c>
      <c r="C116" s="422"/>
      <c r="D116" s="446" t="s">
        <v>84</v>
      </c>
      <c r="E116" s="444">
        <f>STDEV(E108:E113)/E115</f>
        <v>7.091822942555938E-3</v>
      </c>
      <c r="F116" s="423">
        <f>STDEV(F108:F113)/F115</f>
        <v>7.091822942555919E-3</v>
      </c>
      <c r="I116" s="386"/>
    </row>
    <row r="117" spans="1:10" ht="27" customHeight="1" thickBot="1" x14ac:dyDescent="0.45">
      <c r="A117" s="510" t="s">
        <v>78</v>
      </c>
      <c r="B117" s="511"/>
      <c r="C117" s="424"/>
      <c r="D117" s="383" t="s">
        <v>20</v>
      </c>
      <c r="E117" s="449">
        <f>COUNT(E108:E113)</f>
        <v>6</v>
      </c>
      <c r="F117" s="450">
        <f>COUNT(F108:F113)</f>
        <v>6</v>
      </c>
      <c r="I117" s="386"/>
      <c r="J117" s="417"/>
    </row>
    <row r="118" spans="1:10" ht="26.25" customHeight="1" thickBot="1" x14ac:dyDescent="0.35">
      <c r="A118" s="512"/>
      <c r="B118" s="513"/>
      <c r="C118" s="386"/>
      <c r="D118" s="448"/>
      <c r="E118" s="490" t="s">
        <v>123</v>
      </c>
      <c r="F118" s="491"/>
      <c r="G118" s="386"/>
      <c r="H118" s="386"/>
      <c r="I118" s="386"/>
    </row>
    <row r="119" spans="1:10" ht="25.5" customHeight="1" x14ac:dyDescent="0.4">
      <c r="A119" s="433"/>
      <c r="B119" s="308"/>
      <c r="C119" s="386"/>
      <c r="D119" s="446" t="s">
        <v>124</v>
      </c>
      <c r="E119" s="451">
        <f>MIN(E108:E113)</f>
        <v>587.01292062825485</v>
      </c>
      <c r="F119" s="470">
        <f>MIN(F108:F113)</f>
        <v>97.835486771375813</v>
      </c>
      <c r="G119" s="386"/>
      <c r="H119" s="386"/>
      <c r="I119" s="386"/>
    </row>
    <row r="120" spans="1:10" ht="24" customHeight="1" thickBot="1" x14ac:dyDescent="0.45">
      <c r="A120" s="433"/>
      <c r="B120" s="308"/>
      <c r="C120" s="386"/>
      <c r="D120" s="355" t="s">
        <v>125</v>
      </c>
      <c r="E120" s="452">
        <f>MAX(E108:E113)</f>
        <v>598.67474178838461</v>
      </c>
      <c r="F120" s="471">
        <f>MAX(F108:F113)</f>
        <v>99.779123631397439</v>
      </c>
      <c r="G120" s="386"/>
      <c r="H120" s="386"/>
      <c r="I120" s="386"/>
    </row>
    <row r="121" spans="1:10" ht="27" customHeight="1" x14ac:dyDescent="0.3">
      <c r="A121" s="433"/>
      <c r="B121" s="308"/>
      <c r="C121" s="386"/>
      <c r="D121" s="386"/>
      <c r="E121" s="386"/>
      <c r="F121" s="405"/>
      <c r="G121" s="386"/>
      <c r="H121" s="386"/>
      <c r="I121" s="386"/>
    </row>
    <row r="122" spans="1:10" ht="25.5" customHeight="1" x14ac:dyDescent="0.3">
      <c r="A122" s="433"/>
      <c r="B122" s="308"/>
      <c r="C122" s="386"/>
      <c r="D122" s="386"/>
      <c r="E122" s="386"/>
      <c r="F122" s="405"/>
      <c r="G122" s="386"/>
      <c r="H122" s="386"/>
      <c r="I122" s="386"/>
    </row>
    <row r="123" spans="1:10" ht="18.75" x14ac:dyDescent="0.3">
      <c r="A123" s="433"/>
      <c r="B123" s="308"/>
      <c r="C123" s="386"/>
      <c r="D123" s="386"/>
      <c r="E123" s="386"/>
      <c r="F123" s="405"/>
      <c r="G123" s="386"/>
      <c r="H123" s="386"/>
      <c r="I123" s="386"/>
    </row>
    <row r="124" spans="1:10" ht="45.75" customHeight="1" x14ac:dyDescent="0.65">
      <c r="A124" s="428" t="s">
        <v>106</v>
      </c>
      <c r="B124" s="397" t="s">
        <v>126</v>
      </c>
      <c r="C124" s="522" t="str">
        <f>B26</f>
        <v>EFAVIRENZ</v>
      </c>
      <c r="D124" s="522"/>
      <c r="E124" s="386" t="s">
        <v>127</v>
      </c>
      <c r="F124" s="386"/>
      <c r="G124" s="472">
        <f>F115</f>
        <v>98.86486689866922</v>
      </c>
      <c r="H124" s="386"/>
      <c r="I124" s="386"/>
    </row>
    <row r="125" spans="1:10" ht="45.75" customHeight="1" x14ac:dyDescent="0.65">
      <c r="A125" s="428"/>
      <c r="B125" s="397" t="s">
        <v>128</v>
      </c>
      <c r="C125" s="397" t="s">
        <v>129</v>
      </c>
      <c r="D125" s="472">
        <f>MIN(F108:F113)</f>
        <v>97.835486771375813</v>
      </c>
      <c r="E125" s="397" t="s">
        <v>130</v>
      </c>
      <c r="F125" s="472">
        <f>MAX(F108:F113)</f>
        <v>99.779123631397439</v>
      </c>
      <c r="G125" s="387"/>
      <c r="H125" s="386"/>
      <c r="I125" s="386"/>
    </row>
    <row r="126" spans="1:10" ht="19.5" customHeight="1" thickBot="1" x14ac:dyDescent="0.35">
      <c r="A126" s="476"/>
      <c r="B126" s="476"/>
      <c r="C126" s="426"/>
      <c r="D126" s="426"/>
      <c r="E126" s="426"/>
      <c r="F126" s="426"/>
      <c r="G126" s="426"/>
      <c r="H126" s="426"/>
    </row>
    <row r="127" spans="1:10" ht="18.75" x14ac:dyDescent="0.3">
      <c r="B127" s="523" t="s">
        <v>26</v>
      </c>
      <c r="C127" s="523"/>
      <c r="E127" s="474" t="s">
        <v>27</v>
      </c>
      <c r="F127" s="427"/>
      <c r="G127" s="523" t="s">
        <v>28</v>
      </c>
      <c r="H127" s="523"/>
    </row>
    <row r="128" spans="1:10" ht="69.95" customHeight="1" x14ac:dyDescent="0.3">
      <c r="A128" s="428" t="s">
        <v>29</v>
      </c>
      <c r="B128" s="430"/>
      <c r="C128" s="430"/>
      <c r="E128" s="430"/>
      <c r="F128" s="386"/>
      <c r="G128" s="430"/>
      <c r="H128" s="430"/>
    </row>
    <row r="129" spans="1:9" ht="69.95" customHeight="1" x14ac:dyDescent="0.3">
      <c r="A129" s="428" t="s">
        <v>30</v>
      </c>
      <c r="B129" s="431"/>
      <c r="C129" s="431"/>
      <c r="E129" s="431"/>
      <c r="F129" s="386"/>
      <c r="G129" s="432"/>
      <c r="H129" s="432"/>
    </row>
    <row r="130" spans="1:9" ht="18.75" x14ac:dyDescent="0.3">
      <c r="A130" s="405"/>
      <c r="B130" s="405"/>
      <c r="C130" s="405"/>
      <c r="D130" s="405"/>
      <c r="E130" s="405"/>
      <c r="F130" s="382"/>
      <c r="G130" s="405"/>
      <c r="H130" s="405"/>
      <c r="I130" s="386"/>
    </row>
    <row r="131" spans="1:9" ht="18.75" x14ac:dyDescent="0.3">
      <c r="A131" s="405"/>
      <c r="B131" s="405"/>
      <c r="C131" s="405"/>
      <c r="D131" s="405"/>
      <c r="E131" s="405"/>
      <c r="F131" s="382"/>
      <c r="G131" s="405"/>
      <c r="H131" s="405"/>
      <c r="I131" s="386"/>
    </row>
    <row r="132" spans="1:9" ht="18.75" x14ac:dyDescent="0.3">
      <c r="A132" s="405"/>
      <c r="B132" s="405"/>
      <c r="C132" s="405"/>
      <c r="D132" s="405"/>
      <c r="E132" s="405"/>
      <c r="F132" s="382"/>
      <c r="G132" s="405"/>
      <c r="H132" s="405"/>
      <c r="I132" s="386"/>
    </row>
    <row r="133" spans="1:9" ht="18.75" x14ac:dyDescent="0.3">
      <c r="A133" s="405"/>
      <c r="B133" s="405"/>
      <c r="C133" s="405"/>
      <c r="D133" s="405"/>
      <c r="E133" s="405"/>
      <c r="F133" s="382"/>
      <c r="G133" s="405"/>
      <c r="H133" s="405"/>
      <c r="I133" s="386"/>
    </row>
    <row r="134" spans="1:9" ht="18.75" x14ac:dyDescent="0.3">
      <c r="A134" s="405"/>
      <c r="B134" s="405"/>
      <c r="C134" s="405"/>
      <c r="D134" s="405"/>
      <c r="E134" s="405"/>
      <c r="F134" s="382"/>
      <c r="G134" s="405"/>
      <c r="H134" s="405"/>
      <c r="I134" s="386"/>
    </row>
    <row r="135" spans="1:9" ht="18.75" x14ac:dyDescent="0.3">
      <c r="A135" s="405"/>
      <c r="B135" s="405"/>
      <c r="C135" s="405"/>
      <c r="D135" s="405"/>
      <c r="E135" s="405"/>
      <c r="F135" s="382"/>
      <c r="G135" s="405"/>
      <c r="H135" s="405"/>
      <c r="I135" s="386"/>
    </row>
    <row r="136" spans="1:9" ht="18.75" x14ac:dyDescent="0.3">
      <c r="A136" s="405"/>
      <c r="B136" s="405"/>
      <c r="C136" s="405"/>
      <c r="D136" s="405"/>
      <c r="E136" s="405"/>
      <c r="F136" s="382"/>
      <c r="G136" s="405"/>
      <c r="H136" s="405"/>
      <c r="I136" s="386"/>
    </row>
    <row r="137" spans="1:9" ht="18.75" x14ac:dyDescent="0.3">
      <c r="A137" s="405"/>
      <c r="B137" s="405"/>
      <c r="C137" s="405"/>
      <c r="D137" s="405"/>
      <c r="E137" s="405"/>
      <c r="F137" s="382"/>
      <c r="G137" s="405"/>
      <c r="H137" s="405"/>
      <c r="I137" s="386"/>
    </row>
    <row r="138" spans="1:9" ht="18.75" x14ac:dyDescent="0.3">
      <c r="A138" s="405"/>
      <c r="B138" s="405"/>
      <c r="C138" s="405"/>
      <c r="D138" s="405"/>
      <c r="E138" s="405"/>
      <c r="F138" s="382"/>
      <c r="G138" s="405"/>
      <c r="H138" s="405"/>
      <c r="I138" s="386"/>
    </row>
    <row r="250" spans="1:1" x14ac:dyDescent="0.25">
      <c r="A250" s="408">
        <v>0</v>
      </c>
    </row>
  </sheetData>
  <sheetProtection password="F258" sheet="1" objects="1" scenarios="1" formatCells="0" formatColumns="0"/>
  <mergeCells count="37">
    <mergeCell ref="I92:I93"/>
    <mergeCell ref="A99:B100"/>
    <mergeCell ref="A117:B118"/>
    <mergeCell ref="E118:F118"/>
    <mergeCell ref="C124:D124"/>
    <mergeCell ref="B127:C127"/>
    <mergeCell ref="G127:H127"/>
    <mergeCell ref="B79:C79"/>
    <mergeCell ref="B80:C80"/>
    <mergeCell ref="C82:G82"/>
    <mergeCell ref="C84:H84"/>
    <mergeCell ref="C85:H85"/>
    <mergeCell ref="F89:G89"/>
    <mergeCell ref="C64:C67"/>
    <mergeCell ref="D64:D67"/>
    <mergeCell ref="C68:C71"/>
    <mergeCell ref="D68:D71"/>
    <mergeCell ref="A70:B71"/>
    <mergeCell ref="C76:D76"/>
    <mergeCell ref="D36:E36"/>
    <mergeCell ref="F36:G36"/>
    <mergeCell ref="I39:I40"/>
    <mergeCell ref="A46:B47"/>
    <mergeCell ref="C60:C63"/>
    <mergeCell ref="D60:D63"/>
    <mergeCell ref="B21:H21"/>
    <mergeCell ref="B26:C26"/>
    <mergeCell ref="B27:C27"/>
    <mergeCell ref="C29:G29"/>
    <mergeCell ref="C31:H31"/>
    <mergeCell ref="C32:H32"/>
    <mergeCell ref="A1:I7"/>
    <mergeCell ref="A8:I14"/>
    <mergeCell ref="A16:H16"/>
    <mergeCell ref="A17:H17"/>
    <mergeCell ref="B18:C18"/>
    <mergeCell ref="B20:C20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</vt:i4>
      </vt:variant>
    </vt:vector>
  </HeadingPairs>
  <TitlesOfParts>
    <vt:vector size="14" baseType="lpstr">
      <vt:lpstr>SST LAMIVUDINE</vt:lpstr>
      <vt:lpstr>SST TENOFORVIR</vt:lpstr>
      <vt:lpstr>SST EFAVIRENZ</vt:lpstr>
      <vt:lpstr>Uniformity</vt:lpstr>
      <vt:lpstr>Lamivudine</vt:lpstr>
      <vt:lpstr>TENOFOVIR</vt:lpstr>
      <vt:lpstr>EFAVIRENZ</vt:lpstr>
      <vt:lpstr>EFAVIRENZ!Print_Area</vt:lpstr>
      <vt:lpstr>Lamivudine!Print_Area</vt:lpstr>
      <vt:lpstr>'SST EFAVIRENZ'!Print_Area</vt:lpstr>
      <vt:lpstr>'SST LAMIVUDINE'!Print_Area</vt:lpstr>
      <vt:lpstr>'SST TENOFORVIR'!Print_Area</vt:lpstr>
      <vt:lpstr>TENOFOVIR!Print_Area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Rutto</cp:lastModifiedBy>
  <cp:lastPrinted>2018-04-05T09:34:47Z</cp:lastPrinted>
  <dcterms:created xsi:type="dcterms:W3CDTF">2005-07-05T10:19:27Z</dcterms:created>
  <dcterms:modified xsi:type="dcterms:W3CDTF">2018-04-05T11:35:26Z</dcterms:modified>
</cp:coreProperties>
</file>