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Apr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EFAVIRENZ!$A$1:$I$129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E41" i="3" s="1"/>
  <c r="F44" i="3"/>
  <c r="F42" i="3"/>
  <c r="D42" i="3"/>
  <c r="B34" i="3"/>
  <c r="D44" i="3" s="1"/>
  <c r="B30" i="3"/>
  <c r="C46" i="2"/>
  <c r="B57" i="3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I92" i="3"/>
  <c r="D101" i="3"/>
  <c r="D102" i="3" s="1"/>
  <c r="D97" i="3"/>
  <c r="F45" i="3"/>
  <c r="F46" i="3" s="1"/>
  <c r="D45" i="3"/>
  <c r="E38" i="3" s="1"/>
  <c r="I39" i="3"/>
  <c r="D98" i="3"/>
  <c r="F98" i="3"/>
  <c r="G94" i="3" s="1"/>
  <c r="G41" i="3"/>
  <c r="C50" i="2"/>
  <c r="D26" i="2"/>
  <c r="D30" i="2"/>
  <c r="D34" i="2"/>
  <c r="D38" i="2"/>
  <c r="D42" i="2"/>
  <c r="B49" i="2"/>
  <c r="D50" i="2"/>
  <c r="D49" i="3"/>
  <c r="D33" i="2"/>
  <c r="D37" i="2"/>
  <c r="D41" i="2"/>
  <c r="D31" i="2"/>
  <c r="D39" i="2"/>
  <c r="C49" i="2"/>
  <c r="G40" i="3"/>
  <c r="D27" i="2"/>
  <c r="D35" i="2"/>
  <c r="D43" i="2"/>
  <c r="D24" i="2"/>
  <c r="D28" i="2"/>
  <c r="D32" i="2"/>
  <c r="D36" i="2"/>
  <c r="D40" i="2"/>
  <c r="D49" i="2"/>
  <c r="E92" i="3" l="1"/>
  <c r="G93" i="3"/>
  <c r="E91" i="3"/>
  <c r="D46" i="3"/>
  <c r="G38" i="3"/>
  <c r="G39" i="3"/>
  <c r="E39" i="3"/>
  <c r="G92" i="3"/>
  <c r="E40" i="3"/>
  <c r="E94" i="3"/>
  <c r="F99" i="3"/>
  <c r="G91" i="3"/>
  <c r="D99" i="3"/>
  <c r="E93" i="3"/>
  <c r="G42" i="3" l="1"/>
  <c r="D105" i="3"/>
  <c r="G95" i="3"/>
  <c r="D50" i="3"/>
  <c r="G70" i="3" s="1"/>
  <c r="H70" i="3" s="1"/>
  <c r="D52" i="3"/>
  <c r="E95" i="3"/>
  <c r="E42" i="3"/>
  <c r="D103" i="3"/>
  <c r="E109" i="3" s="1"/>
  <c r="F109" i="3" s="1"/>
  <c r="D51" i="3"/>
  <c r="G67" i="3"/>
  <c r="H67" i="3" s="1"/>
  <c r="G63" i="3"/>
  <c r="H63" i="3" s="1"/>
  <c r="G68" i="3"/>
  <c r="H68" i="3" s="1"/>
  <c r="G71" i="3"/>
  <c r="H71" i="3" s="1"/>
  <c r="G62" i="3"/>
  <c r="H62" i="3" s="1"/>
  <c r="G60" i="3" l="1"/>
  <c r="G64" i="3"/>
  <c r="H64" i="3" s="1"/>
  <c r="G69" i="3"/>
  <c r="H69" i="3" s="1"/>
  <c r="G65" i="3"/>
  <c r="H65" i="3" s="1"/>
  <c r="E112" i="3"/>
  <c r="F112" i="3" s="1"/>
  <c r="D104" i="3"/>
  <c r="E111" i="3"/>
  <c r="F111" i="3" s="1"/>
  <c r="E110" i="3"/>
  <c r="F110" i="3" s="1"/>
  <c r="E113" i="3"/>
  <c r="F113" i="3" s="1"/>
  <c r="G66" i="3"/>
  <c r="H66" i="3" s="1"/>
  <c r="G61" i="3"/>
  <c r="H61" i="3" s="1"/>
  <c r="E108" i="3"/>
  <c r="F108" i="3" s="1"/>
  <c r="H60" i="3"/>
  <c r="E120" i="3" l="1"/>
  <c r="G72" i="3"/>
  <c r="G73" i="3" s="1"/>
  <c r="E119" i="3"/>
  <c r="E117" i="3"/>
  <c r="G74" i="3"/>
  <c r="E115" i="3"/>
  <c r="E116" i="3" s="1"/>
  <c r="F125" i="3"/>
  <c r="F120" i="3"/>
  <c r="F117" i="3"/>
  <c r="D125" i="3"/>
  <c r="F115" i="3"/>
  <c r="F119" i="3"/>
  <c r="H74" i="3"/>
  <c r="H72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<sst xmlns="http://schemas.openxmlformats.org/spreadsheetml/2006/main" count="238" uniqueCount="132">
  <si>
    <t>HPLC System Suitability Report</t>
  </si>
  <si>
    <t>Analysis Data</t>
  </si>
  <si>
    <t>Assay</t>
  </si>
  <si>
    <t>Sample(s)</t>
  </si>
  <si>
    <t>Reference Substance:</t>
  </si>
  <si>
    <t>ESTIVA 600 mg TABLETS</t>
  </si>
  <si>
    <t>% age Purity:</t>
  </si>
  <si>
    <t>NDQB201803338</t>
  </si>
  <si>
    <t>Weight (mg):</t>
  </si>
  <si>
    <t>EFAVIRENZ</t>
  </si>
  <si>
    <t>Standard Conc (mg/mL):</t>
  </si>
  <si>
    <t>Each film-coated tablet contains: 600 mg Efavirenz USP.</t>
  </si>
  <si>
    <t>2018-03-13 13:09:22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</si>
  <si>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</si>
  <si>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</si>
  <si>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</si>
  <si>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</si>
  <si>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</si>
  <si>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</si>
  <si>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</si>
  <si>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</si>
  <si>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</si>
  <si>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</si>
  <si>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</si>
  <si>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</si>
  <si>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</si>
  <si>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</si>
  <si>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</si>
  <si>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</si>
  <si>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</si>
  <si>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</si>
  <si>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</si>
  <si>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</si>
  <si>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</si>
  <si>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</si>
  <si>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</si>
  <si>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</si>
  <si>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</si>
  <si>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</si>
  <si>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</si>
  <si>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</si>
  <si>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</si>
  <si>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</si>
  <si>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</si>
  <si>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</si>
  <si>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</si>
  <si>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</si>
  <si>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</si>
  <si>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</si>
  <si>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</si>
  <si>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</si>
  <si>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</si>
  <si>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</si>
  <si>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</si>
  <si>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</si>
  <si>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</si>
  <si>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</si>
  <si>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</si>
  <si>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</si>
  <si>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</si>
  <si>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</si>
  <si>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</si>
  <si>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</si>
  <si>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</si>
  <si>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</si>
  <si>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</si>
  <si>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</si>
  <si>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</si>
  <si>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</si>
  <si>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</si>
  <si>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</si>
  <si>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</si>
  <si>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</si>
  <si>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</si>
  <si>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</si>
  <si>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</si>
  <si>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</si>
  <si>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</si>
  <si>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</si>
  <si>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</si>
  <si>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</si>
  <si>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</si>
  <si>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</si>
  <si>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</si>
  <si>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</si>
  <si>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</si>
  <si>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</si>
  <si>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</si>
  <si>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</si>
  <si>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</si>
  <si>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</si>
  <si>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</si>
  <si>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</si>
  <si>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</si>
  <si>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</si>
  <si>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</si>
  <si>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</si>
  <si>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</si>
  <si>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</si>
  <si>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</si>
  <si>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</si>
  <si>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</si>
  <si>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</si>
  <si>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</si>
  <si>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</si>
  <si>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</si>
  <si>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</si>
  <si>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</si>
  <si>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</si>
  <si>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</si>
  <si>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</si>
  <si>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</si>
  <si>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</si>
  <si>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</si>
  <si>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</si>
  <si>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</si>
  <si>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</si>
  <si>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</si>
  <si>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</si>
  <si>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</si>
  <si>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</si>
  <si>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</si>
  <si>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</si>
  <si>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</si>
  <si>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</si>
  <si>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</si>
  <si>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</si>
  <si>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</si>
  <si>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</si>
  <si>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</si>
  <si>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</si>
  <si>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E15-6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</si>
</sst>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5" fontId="13" fillId="6" borderId="54" xfId="0" applyNumberFormat="1" applyFont="1" applyFill="1" applyBorder="1" applyAlignment="1">
      <alignment horizontal="center"/>
    </xf>
    <xf numFmtId="171" fontId="13" fillId="3" borderId="2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workbookViewId="0">
      <selection activeCell="C28" sqref="C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12.73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0.25459999999999999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60239956</v>
      </c>
      <c r="C24" s="18">
        <v>1694.44</v>
      </c>
      <c r="D24" s="19">
        <v>0.98</v>
      </c>
      <c r="E24" s="20">
        <v>2.48</v>
      </c>
    </row>
    <row r="25" spans="1:6" ht="16.5" customHeight="1" x14ac:dyDescent="0.3">
      <c r="A25" s="17">
        <v>2</v>
      </c>
      <c r="B25" s="18">
        <v>60332668</v>
      </c>
      <c r="C25" s="18">
        <v>1601.7</v>
      </c>
      <c r="D25" s="19">
        <v>0.97</v>
      </c>
      <c r="E25" s="19">
        <v>2.44</v>
      </c>
    </row>
    <row r="26" spans="1:6" ht="16.5" customHeight="1" x14ac:dyDescent="0.3">
      <c r="A26" s="17">
        <v>3</v>
      </c>
      <c r="B26" s="18">
        <v>60446974</v>
      </c>
      <c r="C26" s="18">
        <v>1715.24</v>
      </c>
      <c r="D26" s="19">
        <v>0.99</v>
      </c>
      <c r="E26" s="19">
        <v>2.4700000000000002</v>
      </c>
    </row>
    <row r="27" spans="1:6" ht="16.5" customHeight="1" x14ac:dyDescent="0.3">
      <c r="A27" s="17">
        <v>4</v>
      </c>
      <c r="B27" s="18">
        <v>60353736</v>
      </c>
      <c r="C27" s="18">
        <v>1619.44</v>
      </c>
      <c r="D27" s="19">
        <v>0.99</v>
      </c>
      <c r="E27" s="19">
        <v>2.42</v>
      </c>
    </row>
    <row r="28" spans="1:6" ht="16.5" customHeight="1" x14ac:dyDescent="0.3">
      <c r="A28" s="17">
        <v>5</v>
      </c>
      <c r="B28" s="18">
        <v>60450994</v>
      </c>
      <c r="C28" s="18">
        <v>1637.18</v>
      </c>
      <c r="D28" s="19">
        <v>0.99</v>
      </c>
      <c r="E28" s="19">
        <v>2.4</v>
      </c>
    </row>
    <row r="29" spans="1:6" ht="16.5" customHeight="1" x14ac:dyDescent="0.3">
      <c r="A29" s="17">
        <v>6</v>
      </c>
      <c r="B29" s="21">
        <v>59914015</v>
      </c>
      <c r="C29" s="21">
        <v>1610.23</v>
      </c>
      <c r="D29" s="22">
        <v>0.98</v>
      </c>
      <c r="E29" s="22">
        <v>2.41</v>
      </c>
    </row>
    <row r="30" spans="1:6" ht="16.5" customHeight="1" x14ac:dyDescent="0.3">
      <c r="A30" s="23" t="s">
        <v>18</v>
      </c>
      <c r="B30" s="24">
        <f>AVERAGE(B24:B29)</f>
        <v>60289723.833333336</v>
      </c>
      <c r="C30" s="25">
        <f>AVERAGE(C24:C29)</f>
        <v>1646.3716666666667</v>
      </c>
      <c r="D30" s="26">
        <f>AVERAGE(D24:D29)</f>
        <v>0.98333333333333339</v>
      </c>
      <c r="E30" s="26">
        <f>AVERAGE(E24:E29)</f>
        <v>2.436666666666667</v>
      </c>
    </row>
    <row r="31" spans="1:6" ht="16.5" customHeight="1" x14ac:dyDescent="0.3">
      <c r="A31" s="27" t="s">
        <v>19</v>
      </c>
      <c r="B31" s="28">
        <f>(STDEV(B24:B29)/B30)</f>
        <v>3.319896481606517E-3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E45" sqref="E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1385.66</v>
      </c>
      <c r="D24" s="87">
        <f t="shared" ref="D24:D43" si="0">(C24-$C$46)/$C$46</f>
        <v>1.2905654584595796E-2</v>
      </c>
      <c r="E24" s="53"/>
    </row>
    <row r="25" spans="1:5" ht="15.75" customHeight="1" x14ac:dyDescent="0.3">
      <c r="C25" s="95">
        <v>1373.6</v>
      </c>
      <c r="D25" s="88">
        <f t="shared" si="0"/>
        <v>4.089897332246446E-3</v>
      </c>
      <c r="E25" s="53"/>
    </row>
    <row r="26" spans="1:5" ht="15.75" customHeight="1" x14ac:dyDescent="0.3">
      <c r="C26" s="95">
        <v>1363.67</v>
      </c>
      <c r="D26" s="88">
        <f t="shared" si="0"/>
        <v>-3.1688480670758047E-3</v>
      </c>
      <c r="E26" s="53"/>
    </row>
    <row r="27" spans="1:5" ht="15.75" customHeight="1" x14ac:dyDescent="0.3">
      <c r="C27" s="95">
        <v>1371.03</v>
      </c>
      <c r="D27" s="88">
        <f t="shared" si="0"/>
        <v>2.2112492278901492E-3</v>
      </c>
      <c r="E27" s="53"/>
    </row>
    <row r="28" spans="1:5" ht="15.75" customHeight="1" x14ac:dyDescent="0.3">
      <c r="C28" s="95">
        <v>1368.73</v>
      </c>
      <c r="D28" s="88">
        <f t="shared" si="0"/>
        <v>5.2996882321329887E-4</v>
      </c>
      <c r="E28" s="53"/>
    </row>
    <row r="29" spans="1:5" ht="15.75" customHeight="1" x14ac:dyDescent="0.3">
      <c r="C29" s="95">
        <v>1336.75</v>
      </c>
      <c r="D29" s="88">
        <f t="shared" si="0"/>
        <v>-2.2847138716598336E-2</v>
      </c>
      <c r="E29" s="53"/>
    </row>
    <row r="30" spans="1:5" ht="15.75" customHeight="1" x14ac:dyDescent="0.3">
      <c r="C30" s="95">
        <v>1379.96</v>
      </c>
      <c r="D30" s="88">
        <f t="shared" si="0"/>
        <v>8.7390031469182696E-3</v>
      </c>
      <c r="E30" s="53"/>
    </row>
    <row r="31" spans="1:5" ht="15.75" customHeight="1" x14ac:dyDescent="0.3">
      <c r="C31" s="95">
        <v>1359.55</v>
      </c>
      <c r="D31" s="88">
        <f t="shared" si="0"/>
        <v>-6.1805329658883952E-3</v>
      </c>
      <c r="E31" s="53"/>
    </row>
    <row r="32" spans="1:5" ht="15.75" customHeight="1" x14ac:dyDescent="0.3">
      <c r="C32" s="95">
        <v>1386.86</v>
      </c>
      <c r="D32" s="88">
        <f t="shared" si="0"/>
        <v>1.3782844360948818E-2</v>
      </c>
      <c r="E32" s="53"/>
    </row>
    <row r="33" spans="1:7" ht="15.75" customHeight="1" x14ac:dyDescent="0.3">
      <c r="C33" s="95">
        <v>1391.1</v>
      </c>
      <c r="D33" s="88">
        <f t="shared" si="0"/>
        <v>1.6882248237396646E-2</v>
      </c>
      <c r="E33" s="53"/>
    </row>
    <row r="34" spans="1:7" ht="15.75" customHeight="1" x14ac:dyDescent="0.3">
      <c r="C34" s="95">
        <v>1388.36</v>
      </c>
      <c r="D34" s="88">
        <f t="shared" si="0"/>
        <v>1.4879331581390265E-2</v>
      </c>
      <c r="E34" s="53"/>
    </row>
    <row r="35" spans="1:7" ht="15.75" customHeight="1" x14ac:dyDescent="0.3">
      <c r="C35" s="95">
        <v>1375.62</v>
      </c>
      <c r="D35" s="88">
        <f t="shared" si="0"/>
        <v>5.5665001224409127E-3</v>
      </c>
      <c r="E35" s="53"/>
    </row>
    <row r="36" spans="1:7" ht="15.75" customHeight="1" x14ac:dyDescent="0.3">
      <c r="C36" s="95">
        <v>1367.79</v>
      </c>
      <c r="D36" s="88">
        <f t="shared" si="0"/>
        <v>-1.5716316826338027E-4</v>
      </c>
      <c r="E36" s="53"/>
    </row>
    <row r="37" spans="1:7" ht="15.75" customHeight="1" x14ac:dyDescent="0.3">
      <c r="C37" s="95">
        <v>1338.55</v>
      </c>
      <c r="D37" s="88">
        <f t="shared" si="0"/>
        <v>-2.1531354052068633E-2</v>
      </c>
      <c r="E37" s="53"/>
    </row>
    <row r="38" spans="1:7" ht="15.75" customHeight="1" x14ac:dyDescent="0.3">
      <c r="C38" s="95">
        <v>1333.26</v>
      </c>
      <c r="D38" s="88">
        <f t="shared" si="0"/>
        <v>-2.5398298982825439E-2</v>
      </c>
      <c r="E38" s="53"/>
    </row>
    <row r="39" spans="1:7" ht="15.75" customHeight="1" x14ac:dyDescent="0.3">
      <c r="C39" s="95">
        <v>1379.98</v>
      </c>
      <c r="D39" s="88">
        <f t="shared" si="0"/>
        <v>8.7536229765241419E-3</v>
      </c>
      <c r="E39" s="53"/>
    </row>
    <row r="40" spans="1:7" ht="15.75" customHeight="1" x14ac:dyDescent="0.3">
      <c r="C40" s="95">
        <v>1364.43</v>
      </c>
      <c r="D40" s="88">
        <f t="shared" si="0"/>
        <v>-2.6132945420521453E-3</v>
      </c>
      <c r="E40" s="53"/>
    </row>
    <row r="41" spans="1:7" ht="15.75" customHeight="1" x14ac:dyDescent="0.3">
      <c r="C41" s="95">
        <v>1385.33</v>
      </c>
      <c r="D41" s="88">
        <f t="shared" si="0"/>
        <v>1.2664427396098564E-2</v>
      </c>
      <c r="E41" s="53"/>
    </row>
    <row r="42" spans="1:7" ht="15.75" customHeight="1" x14ac:dyDescent="0.3">
      <c r="C42" s="95">
        <v>1350.69</v>
      </c>
      <c r="D42" s="88">
        <f t="shared" si="0"/>
        <v>-1.2657117481295794E-2</v>
      </c>
      <c r="E42" s="53"/>
    </row>
    <row r="43" spans="1:7" ht="16.5" customHeight="1" x14ac:dyDescent="0.3">
      <c r="C43" s="96">
        <v>1359.18</v>
      </c>
      <c r="D43" s="89">
        <f t="shared" si="0"/>
        <v>-6.450999813597205E-3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27360.100000000002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1368.0050000000001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1368.0050000000001</v>
      </c>
      <c r="C49" s="93">
        <f>-IF(C46&lt;=80,10%,IF(C46&lt;250,7.5%,5%))</f>
        <v>-0.05</v>
      </c>
      <c r="D49" s="81">
        <f>IF(C46&lt;=80,C46*0.9,IF(C46&lt;250,C46*0.925,C46*0.95))</f>
        <v>1299.60475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1436.4052500000003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0" zoomScale="40" zoomScaleNormal="40" zoomScaleSheetLayoutView="40" zoomScalePageLayoutView="50" workbookViewId="0">
      <selection activeCell="D47" sqref="D4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>
        <v>43187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43188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9</v>
      </c>
      <c r="C26" s="298"/>
    </row>
    <row r="27" spans="1:14" ht="26.25" customHeight="1" x14ac:dyDescent="0.4">
      <c r="A27" s="109" t="s">
        <v>48</v>
      </c>
      <c r="B27" s="304" t="s">
        <v>131</v>
      </c>
      <c r="C27" s="304"/>
    </row>
    <row r="28" spans="1:14" ht="27" customHeight="1" x14ac:dyDescent="0.4">
      <c r="A28" s="109" t="s">
        <v>6</v>
      </c>
      <c r="B28" s="110">
        <v>97.21</v>
      </c>
    </row>
    <row r="29" spans="1:14" s="14" customFormat="1" ht="27" customHeight="1" x14ac:dyDescent="0.4">
      <c r="A29" s="109" t="s">
        <v>49</v>
      </c>
      <c r="B29" s="111">
        <v>0.05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97.16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60125250</v>
      </c>
      <c r="E38" s="133">
        <f>IF(ISBLANK(D38),"-",$D$48/$D$45*D38)</f>
        <v>60764649.672053151</v>
      </c>
      <c r="F38" s="132">
        <v>64382017</v>
      </c>
      <c r="G38" s="134">
        <f>IF(ISBLANK(F38),"-",$D$48/$F$45*F38)</f>
        <v>60021659.514263041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60378046</v>
      </c>
      <c r="E39" s="138">
        <f>IF(ISBLANK(D39),"-",$D$48/$D$45*D39)</f>
        <v>61020134.021448731</v>
      </c>
      <c r="F39" s="137">
        <v>64901219</v>
      </c>
      <c r="G39" s="139">
        <f>IF(ISBLANK(F39),"-",$D$48/$F$45*F39)</f>
        <v>60505697.870239444</v>
      </c>
      <c r="I39" s="315">
        <f>ABS((F43/D43*D42)-F42)/D42</f>
        <v>6.0509461052519276E-3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59929911</v>
      </c>
      <c r="E40" s="138">
        <f>IF(ISBLANK(D40),"-",$D$48/$D$45*D40)</f>
        <v>60567233.346927032</v>
      </c>
      <c r="F40" s="137">
        <v>65224207</v>
      </c>
      <c r="G40" s="139">
        <f>IF(ISBLANK(F40),"-",$D$48/$F$45*F40)</f>
        <v>60806811.079587832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60144402.333333336</v>
      </c>
      <c r="E42" s="148">
        <f>AVERAGE(E38:E41)</f>
        <v>60784005.680142976</v>
      </c>
      <c r="F42" s="147">
        <f>AVERAGE(F38:F41)</f>
        <v>64835814.333333336</v>
      </c>
      <c r="G42" s="149">
        <f>AVERAGE(G38:G41)</f>
        <v>60444722.821363442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12.73</v>
      </c>
      <c r="E43" s="140"/>
      <c r="F43" s="152">
        <v>13.8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12.73</v>
      </c>
      <c r="E44" s="155"/>
      <c r="F44" s="154">
        <f>F43*$B$34</f>
        <v>13.8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12.368468</v>
      </c>
      <c r="E45" s="158"/>
      <c r="F45" s="157">
        <f>F44*$B$30/100</f>
        <v>13.40808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0.24736936000000001</v>
      </c>
      <c r="E46" s="160"/>
      <c r="F46" s="161">
        <f>F45/$B$45</f>
        <v>0.2681616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0.25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60614364.250753202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5.6652344606618454E-3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contains: 600 mg Efavirenz USP.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f>Uniformity!C46</f>
        <v>1368.0050000000001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20" t="s">
        <v>94</v>
      </c>
      <c r="D60" s="323">
        <v>1368.17</v>
      </c>
      <c r="E60" s="182">
        <v>1</v>
      </c>
      <c r="F60" s="183">
        <v>56202680</v>
      </c>
      <c r="G60" s="248">
        <f>IF(ISBLANK(F60),"-",(F60/$D$50*$D$47*$B$68)*($B$57/$D$60))</f>
        <v>579.44085021045782</v>
      </c>
      <c r="H60" s="266">
        <f t="shared" ref="H60:H71" si="0">IF(ISBLANK(F60),"-",(G60/$B$56)*100)</f>
        <v>96.573475035076299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1"/>
      <c r="D61" s="324"/>
      <c r="E61" s="184">
        <v>2</v>
      </c>
      <c r="F61" s="137">
        <v>56270974</v>
      </c>
      <c r="G61" s="249">
        <f>IF(ISBLANK(F61),"-",(F61/$D$50*$D$47*$B$68)*($B$57/$D$60))</f>
        <v>580.14495068083158</v>
      </c>
      <c r="H61" s="267">
        <f t="shared" si="0"/>
        <v>96.690825113471931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56853647</v>
      </c>
      <c r="G62" s="249">
        <f>IF(ISBLANK(F62),"-",(F62/$D$50*$D$47*$B$68)*($B$57/$D$60))</f>
        <v>586.15221827936398</v>
      </c>
      <c r="H62" s="267">
        <f t="shared" si="0"/>
        <v>97.692036379893992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1363.42</v>
      </c>
      <c r="E64" s="182">
        <v>1</v>
      </c>
      <c r="F64" s="183">
        <v>58090032</v>
      </c>
      <c r="G64" s="248">
        <f>IF(ISBLANK(F64),"-",(F64/$D$50*$D$47*$B$68)*($B$57/$D$64))</f>
        <v>600.98565091344835</v>
      </c>
      <c r="H64" s="266">
        <f t="shared" si="0"/>
        <v>100.1642751522414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57718750</v>
      </c>
      <c r="G65" s="249">
        <f>IF(ISBLANK(F65),"-",(F65/$D$50*$D$47*$B$68)*($B$57/$D$64))</f>
        <v>597.14445567288703</v>
      </c>
      <c r="H65" s="267">
        <f t="shared" si="0"/>
        <v>99.524075945481172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56866048</v>
      </c>
      <c r="G66" s="249">
        <f>IF(ISBLANK(F66),"-",(F66/$D$50*$D$47*$B$68)*($B$57/$D$64))</f>
        <v>588.32260364661875</v>
      </c>
      <c r="H66" s="267">
        <f t="shared" si="0"/>
        <v>98.053767274436453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20" t="s">
        <v>104</v>
      </c>
      <c r="D68" s="323">
        <v>1377.59</v>
      </c>
      <c r="E68" s="182">
        <v>1</v>
      </c>
      <c r="F68" s="183">
        <v>60602174</v>
      </c>
      <c r="G68" s="248">
        <f>IF(ISBLANK(F68),"-",(F68/$D$50*$D$47*$B$68)*($B$57/$D$68))</f>
        <v>620.52655286984805</v>
      </c>
      <c r="H68" s="267">
        <f t="shared" si="0"/>
        <v>103.42109214497468</v>
      </c>
    </row>
    <row r="69" spans="1:8" ht="27" customHeight="1" x14ac:dyDescent="0.4">
      <c r="A69" s="172" t="s">
        <v>105</v>
      </c>
      <c r="B69" s="189">
        <f>(D47*B68)/B56*B57</f>
        <v>1425.0052083333335</v>
      </c>
      <c r="C69" s="321"/>
      <c r="D69" s="324"/>
      <c r="E69" s="184">
        <v>2</v>
      </c>
      <c r="F69" s="137">
        <v>58736247</v>
      </c>
      <c r="G69" s="249">
        <f>IF(ISBLANK(F69),"-",(F69/$D$50*$D$47*$B$68)*($B$57/$D$68))</f>
        <v>601.42068301744359</v>
      </c>
      <c r="H69" s="267">
        <f t="shared" si="0"/>
        <v>100.23678050290728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59681943</v>
      </c>
      <c r="G70" s="249">
        <f>IF(ISBLANK(F70),"-",(F70/$D$50*$D$47*$B$68)*($B$57/$D$68))</f>
        <v>611.10399040081893</v>
      </c>
      <c r="H70" s="267">
        <f t="shared" si="0"/>
        <v>101.85066506680316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596.13799507685746</v>
      </c>
      <c r="H72" s="269">
        <f>AVERAGE(H60:H71)</f>
        <v>99.356332512809601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2.3473787785932666E-2</v>
      </c>
      <c r="H73" s="337">
        <f>STDEV(H60:H71)/H72</f>
        <v>2.34737877859327E-2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EFAVIRENZ</v>
      </c>
      <c r="D76" s="328"/>
      <c r="E76" s="198" t="s">
        <v>108</v>
      </c>
      <c r="F76" s="198"/>
      <c r="G76" s="282">
        <f>H72</f>
        <v>99.356332512809601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EFAVIRENZ</v>
      </c>
      <c r="C79" s="314"/>
    </row>
    <row r="80" spans="1:8" ht="26.25" customHeight="1" x14ac:dyDescent="0.4">
      <c r="A80" s="109" t="s">
        <v>48</v>
      </c>
      <c r="B80" s="314" t="str">
        <f>B27</f>
        <v>E15-6</v>
      </c>
      <c r="C80" s="314"/>
    </row>
    <row r="81" spans="1:12" ht="27" customHeight="1" x14ac:dyDescent="0.4">
      <c r="A81" s="109" t="s">
        <v>6</v>
      </c>
      <c r="B81" s="201">
        <f>B28</f>
        <v>97.21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97.21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338">
        <v>0.61</v>
      </c>
      <c r="E91" s="133">
        <f>IF(ISBLANK(D91),"-",$D$101/$D$98*D91)</f>
        <v>0.62293923700904474</v>
      </c>
      <c r="F91" s="132">
        <v>0.58299999999999996</v>
      </c>
      <c r="G91" s="134">
        <f>IF(ISBLANK(F91),"-",$D$101/$F$98*F91)</f>
        <v>0.62865045891483506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0.60699999999999998</v>
      </c>
      <c r="E92" s="138">
        <f>IF(ISBLANK(D92),"-",$D$101/$D$98*D92)</f>
        <v>0.619875601417197</v>
      </c>
      <c r="F92" s="137">
        <v>0.58299999999999996</v>
      </c>
      <c r="G92" s="139">
        <f>IF(ISBLANK(F92),"-",$D$101/$F$98*F92)</f>
        <v>0.62865045891483506</v>
      </c>
      <c r="I92" s="315">
        <f>ABS((F96/D96*D95)-F95)/D95</f>
        <v>1.2901185782230285E-2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0.60599999999999998</v>
      </c>
      <c r="E93" s="138">
        <f>IF(ISBLANK(D93),"-",$D$101/$D$98*D93)</f>
        <v>0.61885438955324779</v>
      </c>
      <c r="F93" s="137">
        <v>0.58399999999999996</v>
      </c>
      <c r="G93" s="139">
        <f>IF(ISBLANK(F93),"-",$D$101/$F$98*F93)</f>
        <v>0.62972876158878843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0.60766666666666669</v>
      </c>
      <c r="E95" s="148">
        <f>AVERAGE(E91:E94)</f>
        <v>0.62055640932649647</v>
      </c>
      <c r="F95" s="211">
        <f>AVERAGE(F91:F94)</f>
        <v>0.58333333333333337</v>
      </c>
      <c r="G95" s="212">
        <f>AVERAGE(G91:G94)</f>
        <v>0.62900989313948619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15.11</v>
      </c>
      <c r="E96" s="140"/>
      <c r="F96" s="152">
        <v>14.31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15.11</v>
      </c>
      <c r="E97" s="155"/>
      <c r="F97" s="154">
        <f>F96*$B$87</f>
        <v>14.31</v>
      </c>
    </row>
    <row r="98" spans="1:10" ht="19.5" customHeight="1" x14ac:dyDescent="0.3">
      <c r="A98" s="124" t="s">
        <v>76</v>
      </c>
      <c r="B98" s="217">
        <f>(B97/B96)*(B95/B94)*(B93/B92)*(B91/B90)*B89</f>
        <v>1250</v>
      </c>
      <c r="C98" s="215" t="s">
        <v>115</v>
      </c>
      <c r="D98" s="218">
        <f>D97*$B$83/100</f>
        <v>14.688430999999998</v>
      </c>
      <c r="E98" s="158"/>
      <c r="F98" s="157">
        <f>F97*$B$83/100</f>
        <v>13.910750999999999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1.1750744799999999E-2</v>
      </c>
      <c r="E99" s="158"/>
      <c r="F99" s="161">
        <f>F98/$B$98</f>
        <v>1.1128600799999999E-2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1.2E-2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0.62478315123299133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7.7426350325547934E-3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283">
        <v>0.59499999999999997</v>
      </c>
      <c r="E108" s="250">
        <f t="shared" ref="E108:E113" si="1">IF(ISBLANK(D108),"-",D108/$D$103*$D$100*$B$116)</f>
        <v>571.3982512099933</v>
      </c>
      <c r="F108" s="274">
        <f t="shared" ref="F108:F113" si="2">IF(ISBLANK(D108), "-", (E108/$B$56)*100)</f>
        <v>95.233041868332208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4">
        <v>0.58699999999999997</v>
      </c>
      <c r="E109" s="251">
        <f t="shared" si="1"/>
        <v>563.71558564750592</v>
      </c>
      <c r="F109" s="275">
        <f t="shared" si="2"/>
        <v>93.952597607917653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0.58299999999999996</v>
      </c>
      <c r="E110" s="251">
        <f t="shared" si="1"/>
        <v>559.8742528662624</v>
      </c>
      <c r="F110" s="275">
        <f t="shared" si="2"/>
        <v>93.31237547771039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0.58199999999999996</v>
      </c>
      <c r="E111" s="251">
        <f t="shared" si="1"/>
        <v>558.91391967095137</v>
      </c>
      <c r="F111" s="275">
        <f t="shared" si="2"/>
        <v>93.152319945158553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0.58699999999999997</v>
      </c>
      <c r="E112" s="251">
        <f t="shared" si="1"/>
        <v>563.71558564750592</v>
      </c>
      <c r="F112" s="275">
        <f t="shared" si="2"/>
        <v>93.952597607917653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0.58499999999999996</v>
      </c>
      <c r="E113" s="252">
        <f t="shared" si="1"/>
        <v>561.79491925688421</v>
      </c>
      <c r="F113" s="276">
        <f t="shared" si="2"/>
        <v>93.632486542814036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563.23541904985052</v>
      </c>
      <c r="F115" s="278">
        <f>AVERAGE(F108:F113)</f>
        <v>93.872569841641734</v>
      </c>
    </row>
    <row r="116" spans="1:10" ht="27" customHeight="1" x14ac:dyDescent="0.4">
      <c r="A116" s="124" t="s">
        <v>103</v>
      </c>
      <c r="B116" s="156">
        <f>(B115/B114)*(B113/B112)*(B111/B110)*(B109/B108)*B107</f>
        <v>50000</v>
      </c>
      <c r="C116" s="234"/>
      <c r="D116" s="258" t="s">
        <v>84</v>
      </c>
      <c r="E116" s="256">
        <f>STDEV(E108:E113)/E115</f>
        <v>7.9058981206271955E-3</v>
      </c>
      <c r="F116" s="235">
        <f>STDEV(F108:F113)/F115</f>
        <v>7.9058981206271955E-3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558.91391967095137</v>
      </c>
      <c r="F119" s="279">
        <f>MIN(F108:F113)</f>
        <v>93.152319945158553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571.3982512099933</v>
      </c>
      <c r="F120" s="280">
        <f>MAX(F108:F113)</f>
        <v>95.233041868332208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EFAVIRENZ</v>
      </c>
      <c r="D124" s="328"/>
      <c r="E124" s="198" t="s">
        <v>127</v>
      </c>
      <c r="F124" s="198"/>
      <c r="G124" s="281">
        <f>F115</f>
        <v>93.872569841641734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93.152319945158553</v>
      </c>
      <c r="E125" s="209" t="s">
        <v>130</v>
      </c>
      <c r="F125" s="281">
        <f>MAX(F108:F113)</f>
        <v>95.233041868332208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2018-04-04T09:37:58Z</cp:lastPrinted>
  <dcterms:created xsi:type="dcterms:W3CDTF">2005-07-05T10:19:27Z</dcterms:created>
  <dcterms:modified xsi:type="dcterms:W3CDTF">2018-04-04T09:43:21Z</dcterms:modified>
</cp:coreProperties>
</file>