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620" activeTab="1"/>
  </bookViews>
  <sheets>
    <sheet name=" TRIM SST" sheetId="6" r:id="rId1"/>
    <sheet name="SULFS SST" sheetId="7" r:id="rId2"/>
    <sheet name="Uniformity" sheetId="2" r:id="rId3"/>
    <sheet name="trimethoprim" sheetId="3" r:id="rId4"/>
    <sheet name="sulfamethoxazole" sheetId="4" r:id="rId5"/>
  </sheets>
  <definedNames>
    <definedName name="_xlnm.Print_Area" localSheetId="0">' TRIM SST'!$A$15:$G$62</definedName>
    <definedName name="_xlnm.Print_Area" localSheetId="4">sulfamethoxazole!$A$1:$I$131</definedName>
    <definedName name="_xlnm.Print_Area" localSheetId="1">'SULFS SST'!$A$15:$G$64</definedName>
    <definedName name="_xlnm.Print_Area" localSheetId="3">trimethoprim!$A$1:$I$135</definedName>
    <definedName name="_xlnm.Print_Area" localSheetId="2">Uniformity!$A$11:$F$55</definedName>
  </definedNames>
  <calcPr calcId="145621"/>
</workbook>
</file>

<file path=xl/calcChain.xml><?xml version="1.0" encoding="utf-8"?>
<calcChain xmlns="http://schemas.openxmlformats.org/spreadsheetml/2006/main">
  <c r="B32" i="7" l="1"/>
  <c r="B31" i="7"/>
  <c r="G30" i="7"/>
  <c r="F30" i="7"/>
  <c r="E30" i="7"/>
  <c r="D30" i="7"/>
  <c r="C30" i="7"/>
  <c r="B30" i="7"/>
  <c r="B21" i="7"/>
  <c r="B32" i="6"/>
  <c r="B31" i="6"/>
  <c r="F30" i="6"/>
  <c r="E30" i="6"/>
  <c r="D30" i="6"/>
  <c r="C30" i="6"/>
  <c r="B30" i="6"/>
  <c r="B21" i="6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D101" i="3" s="1"/>
  <c r="D102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B34" i="3"/>
  <c r="D44" i="3" s="1"/>
  <c r="B30" i="3"/>
  <c r="C46" i="2"/>
  <c r="B57" i="4" s="1"/>
  <c r="C45" i="2"/>
  <c r="D41" i="2"/>
  <c r="D37" i="2"/>
  <c r="D33" i="2"/>
  <c r="D29" i="2"/>
  <c r="D28" i="2"/>
  <c r="D25" i="2"/>
  <c r="D24" i="2"/>
  <c r="C19" i="2"/>
  <c r="I92" i="4" l="1"/>
  <c r="I92" i="3"/>
  <c r="I39" i="3"/>
  <c r="D101" i="4"/>
  <c r="D102" i="4" s="1"/>
  <c r="B69" i="4"/>
  <c r="I39" i="4"/>
  <c r="F45" i="4"/>
  <c r="F46" i="4" s="1"/>
  <c r="D97" i="3"/>
  <c r="D98" i="3" s="1"/>
  <c r="E94" i="3" s="1"/>
  <c r="D45" i="3"/>
  <c r="E41" i="3" s="1"/>
  <c r="E40" i="3"/>
  <c r="E38" i="3"/>
  <c r="B69" i="3"/>
  <c r="F98" i="3"/>
  <c r="G92" i="3" s="1"/>
  <c r="D49" i="4"/>
  <c r="F98" i="4"/>
  <c r="F99" i="4" s="1"/>
  <c r="D27" i="2"/>
  <c r="D31" i="2"/>
  <c r="D35" i="2"/>
  <c r="D39" i="2"/>
  <c r="D43" i="2"/>
  <c r="C49" i="2"/>
  <c r="F44" i="3"/>
  <c r="F45" i="3" s="1"/>
  <c r="D97" i="4"/>
  <c r="D98" i="4" s="1"/>
  <c r="D99" i="4" s="1"/>
  <c r="D32" i="2"/>
  <c r="D36" i="2"/>
  <c r="D40" i="2"/>
  <c r="D49" i="2"/>
  <c r="B57" i="3"/>
  <c r="D44" i="4"/>
  <c r="D45" i="4" s="1"/>
  <c r="D46" i="4" s="1"/>
  <c r="C50" i="2"/>
  <c r="D26" i="2"/>
  <c r="D30" i="2"/>
  <c r="D34" i="2"/>
  <c r="D38" i="2"/>
  <c r="D42" i="2"/>
  <c r="B49" i="2"/>
  <c r="D50" i="2"/>
  <c r="G40" i="4" l="1"/>
  <c r="E92" i="4"/>
  <c r="G38" i="4"/>
  <c r="E94" i="4"/>
  <c r="G41" i="4"/>
  <c r="G39" i="4"/>
  <c r="E91" i="4"/>
  <c r="E39" i="3"/>
  <c r="E42" i="3" s="1"/>
  <c r="D46" i="3"/>
  <c r="E40" i="4"/>
  <c r="G38" i="3"/>
  <c r="G41" i="3"/>
  <c r="F46" i="3"/>
  <c r="G39" i="3"/>
  <c r="G40" i="3"/>
  <c r="E38" i="4"/>
  <c r="E41" i="4"/>
  <c r="G93" i="4"/>
  <c r="E39" i="4"/>
  <c r="G91" i="3"/>
  <c r="G95" i="3" s="1"/>
  <c r="G94" i="3"/>
  <c r="F99" i="3"/>
  <c r="G91" i="4"/>
  <c r="G94" i="4"/>
  <c r="G93" i="3"/>
  <c r="D99" i="3"/>
  <c r="E92" i="3"/>
  <c r="E93" i="3"/>
  <c r="E91" i="3"/>
  <c r="E93" i="4"/>
  <c r="G92" i="4"/>
  <c r="G42" i="4" l="1"/>
  <c r="G95" i="4"/>
  <c r="D105" i="4"/>
  <c r="E95" i="4"/>
  <c r="D103" i="4"/>
  <c r="E111" i="4" s="1"/>
  <c r="F111" i="4" s="1"/>
  <c r="D50" i="3"/>
  <c r="G66" i="3" s="1"/>
  <c r="H66" i="3" s="1"/>
  <c r="D52" i="3"/>
  <c r="G42" i="3"/>
  <c r="E95" i="3"/>
  <c r="D105" i="3"/>
  <c r="D103" i="3"/>
  <c r="D50" i="4"/>
  <c r="E42" i="4"/>
  <c r="D52" i="4"/>
  <c r="E113" i="4"/>
  <c r="F113" i="4" s="1"/>
  <c r="E108" i="4" l="1"/>
  <c r="F108" i="4" s="1"/>
  <c r="E112" i="4"/>
  <c r="F112" i="4" s="1"/>
  <c r="D104" i="4"/>
  <c r="E109" i="4"/>
  <c r="F109" i="4" s="1"/>
  <c r="E110" i="4"/>
  <c r="F110" i="4" s="1"/>
  <c r="G65" i="3"/>
  <c r="H65" i="3" s="1"/>
  <c r="G60" i="3"/>
  <c r="H60" i="3" s="1"/>
  <c r="G62" i="3"/>
  <c r="H62" i="3" s="1"/>
  <c r="G69" i="3"/>
  <c r="H69" i="3" s="1"/>
  <c r="G67" i="3"/>
  <c r="H67" i="3" s="1"/>
  <c r="G71" i="3"/>
  <c r="H71" i="3" s="1"/>
  <c r="G61" i="3"/>
  <c r="H61" i="3" s="1"/>
  <c r="G70" i="3"/>
  <c r="H70" i="3" s="1"/>
  <c r="G64" i="3"/>
  <c r="H64" i="3" s="1"/>
  <c r="G68" i="3"/>
  <c r="H68" i="3" s="1"/>
  <c r="G63" i="3"/>
  <c r="H63" i="3" s="1"/>
  <c r="D51" i="3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7" i="4" l="1"/>
  <c r="E119" i="4"/>
  <c r="E120" i="4"/>
  <c r="E115" i="4"/>
  <c r="E116" i="4" s="1"/>
  <c r="G72" i="3"/>
  <c r="G73" i="3" s="1"/>
  <c r="G74" i="3"/>
  <c r="G74" i="4"/>
  <c r="G72" i="4"/>
  <c r="G73" i="4" s="1"/>
  <c r="H60" i="4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H74" i="3"/>
  <c r="H72" i="3"/>
  <c r="G76" i="3" l="1"/>
  <c r="H73" i="3"/>
  <c r="F119" i="3"/>
  <c r="F125" i="3"/>
  <c r="F120" i="3"/>
  <c r="F117" i="3"/>
  <c r="D125" i="3"/>
  <c r="F115" i="3"/>
  <c r="H74" i="4"/>
  <c r="H72" i="4"/>
  <c r="G124" i="4"/>
  <c r="F116" i="4"/>
  <c r="G124" i="3" l="1"/>
  <c r="F116" i="3"/>
  <c r="G76" i="4"/>
  <c r="H73" i="4"/>
</calcChain>
</file>

<file path=xl/sharedStrings.xml><?xml version="1.0" encoding="utf-8"?>
<sst xmlns="http://schemas.openxmlformats.org/spreadsheetml/2006/main" count="467" uniqueCount="145">
  <si>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</si>
  <si>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</si>
  <si>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</si>
  <si>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</si>
  <si>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</si>
  <si>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</si>
  <si>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</si>
  <si>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NDQB201803340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</si>
  <si>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</si>
  <si>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</si>
  <si>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</si>
  <si>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</si>
  <si>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2018-03-13 14:00:19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</si>
  <si>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</si>
  <si>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</si>
  <si>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</si>
  <si>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</si>
  <si>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</si>
  <si>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</si>
  <si>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</si>
  <si>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</si>
  <si>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</si>
  <si>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</si>
  <si>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</si>
  <si>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</si>
  <si>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</si>
  <si>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</si>
  <si>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</si>
  <si>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</si>
  <si>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</si>
  <si>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</si>
  <si>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</si>
  <si>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</si>
  <si>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</si>
  <si>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</si>
  <si>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</si>
  <si>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</si>
  <si>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</si>
  <si>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</si>
  <si>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</si>
  <si>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</si>
  <si>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</si>
  <si>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</si>
  <si>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</si>
  <si>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</si>
  <si>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</si>
  <si>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</si>
  <si>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</si>
  <si>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</si>
  <si>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</si>
  <si>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</si>
  <si>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</si>
  <si>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</si>
  <si>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</si>
  <si>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</si>
  <si>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</si>
  <si>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</si>
  <si>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</si>
  <si>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</si>
  <si>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</si>
  <si>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</si>
  <si>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</si>
  <si>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</si>
  <si>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</si>
  <si>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</si>
  <si>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</si>
  <si>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</si>
  <si>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</si>
  <si>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</si>
  <si>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</si>
  <si>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</si>
  <si>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</si>
  <si>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</si>
  <si>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</si>
  <si>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</si>
  <si>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</si>
  <si>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</si>
  <si>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</si>
  <si>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</si>
  <si>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</si>
  <si>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</si>
  <si>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</si>
  <si>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</si>
  <si>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</si>
  <si>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</si>
  <si>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</si>
  <si>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</si>
  <si>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</si>
  <si>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</si>
  <si>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</si>
  <si>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</si>
  <si>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</si>
  <si>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</si>
  <si>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</si>
  <si>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</si>
  <si>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</si>
  <si>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</si>
  <si>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</si>
  <si>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</si>
  <si>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</si>
  <si>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</si>
  <si>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</si>
  <si>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</si>
  <si>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</si>
  <si>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</si>
  <si>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</si>
  <si>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</si>
  <si>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</si>
  <si>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</si>
  <si>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</si>
  <si>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</si>
  <si>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</si>
  <si>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</si>
  <si>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</si>
  <si>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</si>
  <si>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</si>
  <si>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</si>
  <si>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</si>
  <si>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</si>
  <si>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</si>
  <si>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</si>
  <si>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</si>
  <si>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</si>
  <si>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</si>
  <si>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</si>
  <si>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</si>
  <si>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</si>
  <si>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</si>
  <si>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</si>
  <si>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</si>
  <si>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</si>
  <si>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</si>
  <si>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T7-5</t>
  </si>
  <si>
    <t xml:space="preserve">Sulfamethoxazole </t>
  </si>
  <si>
    <t>Sulfamethoxazole</t>
  </si>
  <si>
    <t>S12-6</t>
  </si>
  <si>
    <t>Relative Retention time</t>
  </si>
  <si>
    <t>2018-03-13 14:03:39</t>
  </si>
  <si>
    <t xml:space="preserve">The RRT for Trimethoprim and Sulfamethoxazole are 1.0 </t>
  </si>
  <si>
    <t>sarah</t>
  </si>
  <si>
    <t>26-03-2017</t>
  </si>
  <si>
    <t>Relation Retention  Times (min)</t>
  </si>
  <si>
    <t>RESOLUTION</t>
  </si>
  <si>
    <t>The RRT for Sulfamethoxazole are 1.8</t>
  </si>
  <si>
    <t>The Resolution NLT 5.0 Between Sulfamethoxazole and 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</si>
</sst>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4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2" fontId="5" fillId="8" borderId="57" xfId="1" applyNumberFormat="1" applyFont="1" applyFill="1" applyBorder="1" applyAlignment="1">
      <alignment horizontal="center"/>
    </xf>
    <xf numFmtId="2" fontId="2" fillId="9" borderId="58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59" xfId="1" applyFont="1" applyFill="1" applyBorder="1"/>
    <xf numFmtId="2" fontId="7" fillId="3" borderId="26" xfId="1" applyNumberFormat="1" applyFont="1" applyFill="1" applyBorder="1" applyAlignment="1" applyProtection="1">
      <alignment horizontal="center"/>
      <protection locked="0"/>
    </xf>
    <xf numFmtId="0" fontId="2" fillId="10" borderId="60" xfId="1" applyFont="1" applyFill="1" applyBorder="1" applyAlignment="1">
      <alignment horizontal="center"/>
    </xf>
    <xf numFmtId="2" fontId="7" fillId="3" borderId="31" xfId="1" applyNumberFormat="1" applyFont="1" applyFill="1" applyBorder="1" applyAlignment="1" applyProtection="1">
      <alignment horizontal="center"/>
      <protection locked="0"/>
    </xf>
    <xf numFmtId="0" fontId="2" fillId="10" borderId="61" xfId="1" applyFont="1" applyFill="1" applyBorder="1" applyAlignment="1">
      <alignment horizontal="center"/>
    </xf>
    <xf numFmtId="2" fontId="7" fillId="3" borderId="35" xfId="1" applyNumberFormat="1" applyFont="1" applyFill="1" applyBorder="1" applyAlignment="1" applyProtection="1">
      <alignment horizontal="center"/>
      <protection locked="0"/>
    </xf>
    <xf numFmtId="0" fontId="2" fillId="10" borderId="62" xfId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2" fillId="9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63" xfId="1" applyFont="1" applyFill="1" applyBorder="1" applyAlignment="1">
      <alignment horizontal="center"/>
    </xf>
    <xf numFmtId="0" fontId="5" fillId="2" borderId="64" xfId="1" applyFont="1" applyFill="1" applyBorder="1" applyAlignment="1">
      <alignment horizontal="center"/>
    </xf>
    <xf numFmtId="2" fontId="7" fillId="3" borderId="61" xfId="1" applyNumberFormat="1" applyFont="1" applyFill="1" applyBorder="1" applyAlignment="1" applyProtection="1">
      <alignment horizontal="center"/>
      <protection locked="0"/>
    </xf>
    <xf numFmtId="2" fontId="7" fillId="3" borderId="65" xfId="1" applyNumberFormat="1" applyFont="1" applyFill="1" applyBorder="1" applyAlignment="1" applyProtection="1">
      <alignment horizontal="center"/>
      <protection locked="0"/>
    </xf>
    <xf numFmtId="2" fontId="2" fillId="9" borderId="59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61" xfId="1" applyFont="1" applyFill="1" applyBorder="1"/>
    <xf numFmtId="0" fontId="2" fillId="2" borderId="65" xfId="1" applyFont="1" applyFill="1" applyBorder="1"/>
    <xf numFmtId="0" fontId="2" fillId="2" borderId="62" xfId="1" applyFont="1" applyFill="1" applyBorder="1"/>
    <xf numFmtId="0" fontId="2" fillId="2" borderId="66" xfId="1" applyFont="1" applyFill="1" applyBorder="1"/>
    <xf numFmtId="0" fontId="1" fillId="2" borderId="59" xfId="1" applyFont="1" applyFill="1" applyBorder="1"/>
    <xf numFmtId="0" fontId="1" fillId="10" borderId="61" xfId="1" applyFont="1" applyFill="1" applyBorder="1" applyAlignment="1">
      <alignment horizontal="center"/>
    </xf>
    <xf numFmtId="0" fontId="2" fillId="9" borderId="61" xfId="1" applyFont="1" applyFill="1" applyBorder="1" applyAlignment="1">
      <alignment horizontal="center"/>
    </xf>
    <xf numFmtId="0" fontId="1" fillId="9" borderId="61" xfId="1" applyFont="1" applyFill="1" applyBorder="1" applyAlignment="1">
      <alignment horizontal="center"/>
    </xf>
    <xf numFmtId="0" fontId="1" fillId="2" borderId="61" xfId="1" applyFont="1" applyFill="1" applyBorder="1"/>
    <xf numFmtId="0" fontId="1" fillId="2" borderId="62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zoomScale="70" zoomScaleNormal="70" workbookViewId="0">
      <selection activeCell="B39" sqref="B39:B42"/>
    </sheetView>
  </sheetViews>
  <sheetFormatPr defaultRowHeight="13.5" x14ac:dyDescent="0.25"/>
  <cols>
    <col min="1" max="1" width="27.5703125" style="426" customWidth="1"/>
    <col min="2" max="2" width="20.42578125" style="426" customWidth="1"/>
    <col min="3" max="3" width="31.85546875" style="426" customWidth="1"/>
    <col min="4" max="4" width="25.85546875" style="426" customWidth="1"/>
    <col min="5" max="5" width="25.7109375" style="426" customWidth="1"/>
    <col min="6" max="6" width="23.140625" style="426" customWidth="1"/>
    <col min="7" max="7" width="28.42578125" style="426" customWidth="1"/>
    <col min="8" max="8" width="21.5703125" style="426" customWidth="1"/>
    <col min="9" max="9" width="9.140625" style="426" customWidth="1"/>
    <col min="10" max="16384" width="9.140625" style="475"/>
  </cols>
  <sheetData>
    <row r="14" spans="1:6" ht="15" customHeight="1" x14ac:dyDescent="0.3">
      <c r="A14" s="425"/>
      <c r="C14" s="427"/>
      <c r="F14" s="427"/>
    </row>
    <row r="15" spans="1:6" ht="18.75" customHeight="1" x14ac:dyDescent="0.3">
      <c r="A15" s="498" t="s">
        <v>0</v>
      </c>
      <c r="B15" s="498"/>
      <c r="C15" s="498"/>
      <c r="D15" s="498"/>
      <c r="E15" s="498"/>
    </row>
    <row r="16" spans="1:6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5</v>
      </c>
      <c r="C17" s="431"/>
      <c r="D17" s="432"/>
      <c r="E17" s="431"/>
    </row>
    <row r="18" spans="1:6" ht="16.5" customHeight="1" x14ac:dyDescent="0.3">
      <c r="A18" s="433" t="s">
        <v>4</v>
      </c>
      <c r="B18" s="434" t="s">
        <v>131</v>
      </c>
      <c r="C18" s="431"/>
      <c r="D18" s="431"/>
      <c r="E18" s="431"/>
    </row>
    <row r="19" spans="1:6" ht="16.5" customHeight="1" x14ac:dyDescent="0.3">
      <c r="A19" s="433" t="s">
        <v>6</v>
      </c>
      <c r="B19" s="434">
        <v>99.7</v>
      </c>
      <c r="C19" s="431"/>
      <c r="D19" s="431"/>
      <c r="E19" s="431"/>
    </row>
    <row r="20" spans="1:6" ht="16.5" customHeight="1" x14ac:dyDescent="0.3">
      <c r="A20" s="430" t="s">
        <v>8</v>
      </c>
      <c r="B20" s="434">
        <v>22.46</v>
      </c>
      <c r="C20" s="431"/>
      <c r="D20" s="431"/>
      <c r="E20" s="431"/>
    </row>
    <row r="21" spans="1:6" ht="16.5" customHeight="1" x14ac:dyDescent="0.3">
      <c r="A21" s="430" t="s">
        <v>10</v>
      </c>
      <c r="B21" s="435">
        <f>22.46/25*4/100</f>
        <v>3.5936000000000003E-2</v>
      </c>
      <c r="C21" s="431"/>
      <c r="D21" s="431"/>
      <c r="E21" s="431"/>
    </row>
    <row r="22" spans="1:6" ht="15.75" customHeight="1" x14ac:dyDescent="0.25">
      <c r="A22" s="431"/>
      <c r="B22" s="431" t="s">
        <v>137</v>
      </c>
      <c r="C22" s="431"/>
      <c r="D22" s="431"/>
      <c r="E22" s="431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17</v>
      </c>
      <c r="F23" s="438" t="s">
        <v>136</v>
      </c>
    </row>
    <row r="24" spans="1:6" ht="16.5" customHeight="1" x14ac:dyDescent="0.3">
      <c r="A24" s="439">
        <v>1</v>
      </c>
      <c r="B24" s="440">
        <v>2757576</v>
      </c>
      <c r="C24" s="440">
        <v>6277.5</v>
      </c>
      <c r="D24" s="441">
        <v>1.2</v>
      </c>
      <c r="E24" s="442">
        <v>5.3</v>
      </c>
      <c r="F24" s="443">
        <v>1</v>
      </c>
    </row>
    <row r="25" spans="1:6" ht="16.5" customHeight="1" x14ac:dyDescent="0.3">
      <c r="A25" s="439">
        <v>2</v>
      </c>
      <c r="B25" s="440">
        <v>2743969</v>
      </c>
      <c r="C25" s="440">
        <v>6230.1</v>
      </c>
      <c r="D25" s="441">
        <v>1.2</v>
      </c>
      <c r="E25" s="441">
        <v>5.3</v>
      </c>
      <c r="F25" s="443">
        <v>1</v>
      </c>
    </row>
    <row r="26" spans="1:6" ht="16.5" customHeight="1" x14ac:dyDescent="0.3">
      <c r="A26" s="439">
        <v>3</v>
      </c>
      <c r="B26" s="440">
        <v>2754234</v>
      </c>
      <c r="C26" s="440">
        <v>6159.3</v>
      </c>
      <c r="D26" s="441">
        <v>1.2</v>
      </c>
      <c r="E26" s="441">
        <v>5.3</v>
      </c>
      <c r="F26" s="443">
        <v>1</v>
      </c>
    </row>
    <row r="27" spans="1:6" ht="16.5" customHeight="1" x14ac:dyDescent="0.3">
      <c r="A27" s="439">
        <v>4</v>
      </c>
      <c r="B27" s="440">
        <v>2747200</v>
      </c>
      <c r="C27" s="440">
        <v>6174.5</v>
      </c>
      <c r="D27" s="441">
        <v>1.2</v>
      </c>
      <c r="E27" s="441">
        <v>5.3</v>
      </c>
      <c r="F27" s="443">
        <v>1</v>
      </c>
    </row>
    <row r="28" spans="1:6" ht="16.5" customHeight="1" x14ac:dyDescent="0.3">
      <c r="A28" s="439">
        <v>5</v>
      </c>
      <c r="B28" s="440">
        <v>2766594</v>
      </c>
      <c r="C28" s="440">
        <v>6109.6</v>
      </c>
      <c r="D28" s="441">
        <v>1.2</v>
      </c>
      <c r="E28" s="441">
        <v>5.3</v>
      </c>
      <c r="F28" s="443">
        <v>1</v>
      </c>
    </row>
    <row r="29" spans="1:6" ht="16.5" customHeight="1" thickBot="1" x14ac:dyDescent="0.35">
      <c r="A29" s="439">
        <v>6</v>
      </c>
      <c r="B29" s="444">
        <v>2772034</v>
      </c>
      <c r="C29" s="444">
        <v>6114.7</v>
      </c>
      <c r="D29" s="445">
        <v>1.2</v>
      </c>
      <c r="E29" s="441">
        <v>5.3</v>
      </c>
      <c r="F29" s="443">
        <v>1</v>
      </c>
    </row>
    <row r="30" spans="1:6" ht="16.5" customHeight="1" thickBot="1" x14ac:dyDescent="0.35">
      <c r="A30" s="446" t="s">
        <v>18</v>
      </c>
      <c r="B30" s="447">
        <f>AVERAGE(B24:B29)</f>
        <v>2756934.5</v>
      </c>
      <c r="C30" s="448">
        <f>AVERAGE(C24:C29)</f>
        <v>6177.6166666666659</v>
      </c>
      <c r="D30" s="449">
        <f>AVERAGE(D24:D29)</f>
        <v>1.2</v>
      </c>
      <c r="E30" s="450">
        <f>AVERAGE(E24:E29)</f>
        <v>5.3</v>
      </c>
      <c r="F30" s="451">
        <f>AVERAGE(F24:F29)</f>
        <v>1</v>
      </c>
    </row>
    <row r="31" spans="1:6" ht="16.5" customHeight="1" x14ac:dyDescent="0.3">
      <c r="A31" s="452" t="s">
        <v>19</v>
      </c>
      <c r="B31" s="453">
        <f>(STDEV(B24:B29)/B30)</f>
        <v>3.9464046969888205E-3</v>
      </c>
      <c r="C31" s="454"/>
      <c r="D31" s="454"/>
      <c r="E31" s="455"/>
    </row>
    <row r="32" spans="1:6" s="426" customFormat="1" ht="16.5" customHeight="1" x14ac:dyDescent="0.3">
      <c r="A32" s="456" t="s">
        <v>20</v>
      </c>
      <c r="B32" s="457">
        <f>COUNT(B24:B29)</f>
        <v>6</v>
      </c>
      <c r="C32" s="458"/>
      <c r="D32" s="459"/>
      <c r="E32" s="460"/>
    </row>
    <row r="33" spans="1:6" s="426" customFormat="1" ht="15.75" customHeight="1" x14ac:dyDescent="0.25">
      <c r="A33" s="431"/>
      <c r="B33" s="431"/>
      <c r="C33" s="431"/>
      <c r="D33" s="431"/>
      <c r="E33" s="431"/>
    </row>
    <row r="34" spans="1:6" s="426" customFormat="1" ht="16.5" customHeight="1" x14ac:dyDescent="0.3">
      <c r="A34" s="433" t="s">
        <v>21</v>
      </c>
      <c r="B34" s="461" t="s">
        <v>22</v>
      </c>
      <c r="C34" s="462"/>
      <c r="D34" s="462"/>
      <c r="E34" s="462"/>
    </row>
    <row r="35" spans="1:6" ht="16.5" customHeight="1" x14ac:dyDescent="0.3">
      <c r="A35" s="433"/>
      <c r="B35" s="461" t="s">
        <v>23</v>
      </c>
      <c r="C35" s="462"/>
      <c r="D35" s="462"/>
      <c r="E35" s="462"/>
    </row>
    <row r="36" spans="1:6" ht="16.5" customHeight="1" x14ac:dyDescent="0.3">
      <c r="A36" s="433"/>
      <c r="B36" s="461" t="s">
        <v>24</v>
      </c>
      <c r="C36" s="462"/>
      <c r="D36" s="462"/>
      <c r="E36" s="462"/>
    </row>
    <row r="37" spans="1:6" ht="15.75" customHeight="1" x14ac:dyDescent="0.25">
      <c r="A37" s="431"/>
      <c r="B37" s="431" t="s">
        <v>138</v>
      </c>
      <c r="C37" s="431"/>
      <c r="D37" s="431"/>
      <c r="E37" s="431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 t="s">
        <v>131</v>
      </c>
      <c r="C39" s="431"/>
      <c r="D39" s="431"/>
      <c r="E39" s="431"/>
    </row>
    <row r="40" spans="1:6" ht="16.5" customHeight="1" x14ac:dyDescent="0.3">
      <c r="A40" s="433" t="s">
        <v>6</v>
      </c>
      <c r="B40" s="434">
        <v>99.7</v>
      </c>
      <c r="C40" s="431"/>
      <c r="D40" s="431"/>
      <c r="E40" s="431"/>
    </row>
    <row r="41" spans="1:6" ht="16.5" customHeight="1" x14ac:dyDescent="0.3">
      <c r="A41" s="430" t="s">
        <v>8</v>
      </c>
      <c r="B41" s="434">
        <v>22.46</v>
      </c>
      <c r="C41" s="431"/>
      <c r="D41" s="431"/>
      <c r="E41" s="431"/>
    </row>
    <row r="42" spans="1:6" ht="16.5" customHeight="1" x14ac:dyDescent="0.3">
      <c r="A42" s="430" t="s">
        <v>10</v>
      </c>
      <c r="B42" s="435">
        <v>3.5936000000000003E-2</v>
      </c>
      <c r="C42" s="431"/>
      <c r="D42" s="431"/>
      <c r="E42" s="431"/>
    </row>
    <row r="43" spans="1:6" ht="15.75" customHeight="1" thickBot="1" x14ac:dyDescent="0.3">
      <c r="A43" s="431"/>
      <c r="B43" s="431"/>
      <c r="C43" s="431"/>
      <c r="D43" s="431"/>
      <c r="E43" s="431"/>
    </row>
    <row r="44" spans="1:6" ht="16.5" customHeight="1" thickBot="1" x14ac:dyDescent="0.35">
      <c r="A44" s="436" t="s">
        <v>13</v>
      </c>
      <c r="B44" s="437" t="s">
        <v>14</v>
      </c>
      <c r="C44" s="436" t="s">
        <v>15</v>
      </c>
      <c r="D44" s="436" t="s">
        <v>16</v>
      </c>
      <c r="E44" s="437" t="s">
        <v>17</v>
      </c>
      <c r="F44" s="463" t="s">
        <v>136</v>
      </c>
    </row>
    <row r="45" spans="1:6" ht="16.5" customHeight="1" x14ac:dyDescent="0.3">
      <c r="A45" s="439">
        <v>1</v>
      </c>
      <c r="B45" s="440">
        <v>2757576</v>
      </c>
      <c r="C45" s="440">
        <v>6277.5</v>
      </c>
      <c r="D45" s="441">
        <v>1.2</v>
      </c>
      <c r="E45" s="464">
        <v>5.3</v>
      </c>
      <c r="F45" s="465">
        <v>1</v>
      </c>
    </row>
    <row r="46" spans="1:6" ht="16.5" customHeight="1" x14ac:dyDescent="0.3">
      <c r="A46" s="439">
        <v>2</v>
      </c>
      <c r="B46" s="440">
        <v>2743969</v>
      </c>
      <c r="C46" s="440">
        <v>6230.1</v>
      </c>
      <c r="D46" s="441">
        <v>1.2</v>
      </c>
      <c r="E46" s="466">
        <v>5.3</v>
      </c>
      <c r="F46" s="467">
        <v>1</v>
      </c>
    </row>
    <row r="47" spans="1:6" ht="16.5" customHeight="1" x14ac:dyDescent="0.3">
      <c r="A47" s="439">
        <v>3</v>
      </c>
      <c r="B47" s="440">
        <v>2754234</v>
      </c>
      <c r="C47" s="440">
        <v>6159.3</v>
      </c>
      <c r="D47" s="441">
        <v>1.2</v>
      </c>
      <c r="E47" s="466">
        <v>5.3</v>
      </c>
      <c r="F47" s="467">
        <v>1</v>
      </c>
    </row>
    <row r="48" spans="1:6" ht="16.5" customHeight="1" x14ac:dyDescent="0.3">
      <c r="A48" s="439">
        <v>4</v>
      </c>
      <c r="B48" s="440">
        <v>2747200</v>
      </c>
      <c r="C48" s="440">
        <v>6174.5</v>
      </c>
      <c r="D48" s="441">
        <v>1.2</v>
      </c>
      <c r="E48" s="466">
        <v>5.3</v>
      </c>
      <c r="F48" s="467">
        <v>1</v>
      </c>
    </row>
    <row r="49" spans="1:7" ht="16.5" customHeight="1" x14ac:dyDescent="0.3">
      <c r="A49" s="439">
        <v>5</v>
      </c>
      <c r="B49" s="440">
        <v>2766594</v>
      </c>
      <c r="C49" s="440">
        <v>6109.6</v>
      </c>
      <c r="D49" s="441">
        <v>1.2</v>
      </c>
      <c r="E49" s="466">
        <v>5.3</v>
      </c>
      <c r="F49" s="467">
        <v>1</v>
      </c>
    </row>
    <row r="50" spans="1:7" ht="16.5" customHeight="1" thickBot="1" x14ac:dyDescent="0.35">
      <c r="A50" s="439">
        <v>6</v>
      </c>
      <c r="B50" s="444">
        <v>2772034</v>
      </c>
      <c r="C50" s="444">
        <v>6114.7</v>
      </c>
      <c r="D50" s="445">
        <v>1.2</v>
      </c>
      <c r="E50" s="468">
        <v>5.3</v>
      </c>
      <c r="F50" s="469">
        <v>1</v>
      </c>
    </row>
    <row r="51" spans="1:7" ht="16.5" customHeight="1" x14ac:dyDescent="0.3">
      <c r="A51" s="446" t="s">
        <v>18</v>
      </c>
      <c r="B51" s="447">
        <v>2756934.5</v>
      </c>
      <c r="C51" s="448">
        <v>6177.6166666666659</v>
      </c>
      <c r="D51" s="470">
        <v>1.2</v>
      </c>
      <c r="E51" s="470">
        <v>5.3</v>
      </c>
      <c r="F51" s="471">
        <v>1</v>
      </c>
    </row>
    <row r="52" spans="1:7" ht="16.5" customHeight="1" x14ac:dyDescent="0.3">
      <c r="A52" s="452" t="s">
        <v>19</v>
      </c>
      <c r="B52" s="453">
        <v>3.9464046969888205E-3</v>
      </c>
      <c r="C52" s="454"/>
      <c r="D52" s="454"/>
      <c r="E52" s="455"/>
    </row>
    <row r="53" spans="1:7" s="426" customFormat="1" ht="16.5" customHeight="1" x14ac:dyDescent="0.3">
      <c r="A53" s="456" t="s">
        <v>20</v>
      </c>
      <c r="B53" s="457">
        <v>6</v>
      </c>
      <c r="C53" s="458"/>
      <c r="D53" s="459"/>
      <c r="E53" s="460"/>
    </row>
    <row r="54" spans="1:7" s="426" customFormat="1" ht="15.75" customHeight="1" x14ac:dyDescent="0.25">
      <c r="A54" s="431"/>
      <c r="B54" s="431"/>
      <c r="C54" s="431"/>
      <c r="D54" s="431"/>
      <c r="E54" s="431"/>
    </row>
    <row r="55" spans="1:7" s="426" customFormat="1" ht="16.5" customHeight="1" x14ac:dyDescent="0.3">
      <c r="A55" s="433" t="s">
        <v>21</v>
      </c>
      <c r="B55" s="461" t="s">
        <v>22</v>
      </c>
      <c r="C55" s="462"/>
      <c r="D55" s="462"/>
      <c r="E55" s="462"/>
    </row>
    <row r="56" spans="1:7" ht="16.5" customHeight="1" x14ac:dyDescent="0.3">
      <c r="A56" s="433"/>
      <c r="B56" s="461" t="s">
        <v>23</v>
      </c>
      <c r="C56" s="462"/>
      <c r="D56" s="462"/>
      <c r="E56" s="462"/>
    </row>
    <row r="57" spans="1:7" ht="16.5" customHeight="1" x14ac:dyDescent="0.3">
      <c r="A57" s="433"/>
      <c r="B57" s="461" t="s">
        <v>24</v>
      </c>
      <c r="C57" s="462"/>
      <c r="D57" s="462"/>
      <c r="E57" s="462"/>
    </row>
    <row r="58" spans="1:7" ht="14.25" customHeight="1" thickBot="1" x14ac:dyDescent="0.3">
      <c r="A58" s="472"/>
      <c r="B58" s="473"/>
      <c r="D58" s="474"/>
      <c r="F58" s="475"/>
      <c r="G58" s="475"/>
    </row>
    <row r="59" spans="1:7" ht="15" customHeight="1" x14ac:dyDescent="0.3">
      <c r="B59" s="499" t="s">
        <v>26</v>
      </c>
      <c r="C59" s="499"/>
      <c r="E59" s="476" t="s">
        <v>27</v>
      </c>
      <c r="F59" s="477"/>
      <c r="G59" s="476" t="s">
        <v>28</v>
      </c>
    </row>
    <row r="60" spans="1:7" ht="15" customHeight="1" x14ac:dyDescent="0.3">
      <c r="A60" s="478" t="s">
        <v>29</v>
      </c>
      <c r="B60" s="479" t="s">
        <v>139</v>
      </c>
      <c r="C60" s="479"/>
      <c r="E60" s="479" t="s">
        <v>140</v>
      </c>
      <c r="G60" s="479"/>
    </row>
    <row r="61" spans="1:7" ht="15" customHeight="1" x14ac:dyDescent="0.3">
      <c r="A61" s="478" t="s">
        <v>30</v>
      </c>
      <c r="B61" s="480"/>
      <c r="C61" s="480"/>
      <c r="E61" s="480"/>
      <c r="G61" s="48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abSelected="1" zoomScale="60" zoomScaleNormal="60" workbookViewId="0">
      <selection activeCell="B40" sqref="B40:B43"/>
    </sheetView>
  </sheetViews>
  <sheetFormatPr defaultRowHeight="13.5" x14ac:dyDescent="0.25"/>
  <cols>
    <col min="1" max="1" width="27.5703125" style="426" customWidth="1"/>
    <col min="2" max="2" width="25.42578125" style="426" customWidth="1"/>
    <col min="3" max="3" width="31.85546875" style="426" customWidth="1"/>
    <col min="4" max="4" width="25.85546875" style="426" customWidth="1"/>
    <col min="5" max="5" width="29.7109375" style="426" customWidth="1"/>
    <col min="6" max="6" width="43.7109375" style="426" customWidth="1"/>
    <col min="7" max="7" width="28.42578125" style="426" customWidth="1"/>
    <col min="8" max="8" width="21.5703125" style="426" customWidth="1"/>
    <col min="9" max="9" width="9.140625" style="426" customWidth="1"/>
    <col min="10" max="16384" width="9.140625" style="475"/>
  </cols>
  <sheetData>
    <row r="14" spans="1:6" ht="15" customHeight="1" x14ac:dyDescent="0.3">
      <c r="A14" s="425"/>
      <c r="C14" s="427"/>
      <c r="F14" s="427"/>
    </row>
    <row r="15" spans="1:6" ht="18.75" customHeight="1" x14ac:dyDescent="0.3">
      <c r="A15" s="498" t="s">
        <v>0</v>
      </c>
      <c r="B15" s="498"/>
      <c r="C15" s="498"/>
      <c r="D15" s="498"/>
      <c r="E15" s="498"/>
    </row>
    <row r="16" spans="1:6" ht="16.5" customHeight="1" x14ac:dyDescent="0.3">
      <c r="A16" s="428" t="s">
        <v>1</v>
      </c>
      <c r="B16" s="429" t="s">
        <v>2</v>
      </c>
    </row>
    <row r="17" spans="1:7" ht="16.5" customHeight="1" x14ac:dyDescent="0.3">
      <c r="A17" s="430" t="s">
        <v>3</v>
      </c>
      <c r="B17" s="430" t="s">
        <v>5</v>
      </c>
      <c r="C17" s="431"/>
      <c r="D17" s="432"/>
      <c r="E17" s="431"/>
    </row>
    <row r="18" spans="1:7" ht="16.5" customHeight="1" x14ac:dyDescent="0.3">
      <c r="A18" s="433" t="s">
        <v>4</v>
      </c>
      <c r="B18" s="434" t="s">
        <v>134</v>
      </c>
      <c r="C18" s="431"/>
      <c r="D18" s="431"/>
      <c r="E18" s="431"/>
    </row>
    <row r="19" spans="1:7" ht="16.5" customHeight="1" x14ac:dyDescent="0.3">
      <c r="A19" s="433" t="s">
        <v>6</v>
      </c>
      <c r="B19" s="434">
        <v>99.02</v>
      </c>
      <c r="C19" s="431"/>
      <c r="D19" s="431"/>
      <c r="E19" s="431"/>
    </row>
    <row r="20" spans="1:7" ht="16.5" customHeight="1" x14ac:dyDescent="0.3">
      <c r="A20" s="430" t="s">
        <v>8</v>
      </c>
      <c r="B20" s="434">
        <v>15.37</v>
      </c>
      <c r="C20" s="431"/>
      <c r="D20" s="431"/>
      <c r="E20" s="431"/>
    </row>
    <row r="21" spans="1:7" ht="16.5" customHeight="1" x14ac:dyDescent="0.3">
      <c r="A21" s="430" t="s">
        <v>10</v>
      </c>
      <c r="B21" s="435">
        <f>15.37/100</f>
        <v>0.1537</v>
      </c>
      <c r="C21" s="431"/>
      <c r="D21" s="431"/>
      <c r="E21" s="431"/>
    </row>
    <row r="22" spans="1:7" ht="15.75" customHeight="1" thickBot="1" x14ac:dyDescent="0.3">
      <c r="A22" s="431"/>
      <c r="B22" s="431" t="s">
        <v>12</v>
      </c>
      <c r="C22" s="431"/>
      <c r="D22" s="431"/>
      <c r="E22" s="431"/>
    </row>
    <row r="23" spans="1:7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7" t="s">
        <v>17</v>
      </c>
      <c r="F23" s="482" t="s">
        <v>141</v>
      </c>
      <c r="G23" s="483" t="s">
        <v>142</v>
      </c>
    </row>
    <row r="24" spans="1:7" ht="16.5" customHeight="1" x14ac:dyDescent="0.3">
      <c r="A24" s="439">
        <v>1</v>
      </c>
      <c r="B24" s="440">
        <v>32450596</v>
      </c>
      <c r="C24" s="440">
        <v>8130.5</v>
      </c>
      <c r="D24" s="441">
        <v>0.9</v>
      </c>
      <c r="E24" s="464">
        <v>10.7</v>
      </c>
      <c r="F24" s="484">
        <v>2.0249999999999999</v>
      </c>
      <c r="G24" s="485">
        <v>14.6</v>
      </c>
    </row>
    <row r="25" spans="1:7" ht="16.5" customHeight="1" x14ac:dyDescent="0.3">
      <c r="A25" s="439">
        <v>2</v>
      </c>
      <c r="B25" s="440">
        <v>32275133</v>
      </c>
      <c r="C25" s="440">
        <v>8076</v>
      </c>
      <c r="D25" s="441">
        <v>0.9</v>
      </c>
      <c r="E25" s="466">
        <v>10.7</v>
      </c>
      <c r="F25" s="484">
        <v>2.0249999999999999</v>
      </c>
      <c r="G25" s="485">
        <v>14.6</v>
      </c>
    </row>
    <row r="26" spans="1:7" ht="16.5" customHeight="1" x14ac:dyDescent="0.3">
      <c r="A26" s="439">
        <v>3</v>
      </c>
      <c r="B26" s="440">
        <v>32402152</v>
      </c>
      <c r="C26" s="440">
        <v>7973.2</v>
      </c>
      <c r="D26" s="441">
        <v>0.9</v>
      </c>
      <c r="E26" s="466">
        <v>10.7</v>
      </c>
      <c r="F26" s="484">
        <v>2.024</v>
      </c>
      <c r="G26" s="485">
        <v>14.5</v>
      </c>
    </row>
    <row r="27" spans="1:7" ht="16.5" customHeight="1" x14ac:dyDescent="0.3">
      <c r="A27" s="439">
        <v>4</v>
      </c>
      <c r="B27" s="440">
        <v>32339671</v>
      </c>
      <c r="C27" s="440">
        <v>7899.5</v>
      </c>
      <c r="D27" s="441">
        <v>0.9</v>
      </c>
      <c r="E27" s="466">
        <v>10.7</v>
      </c>
      <c r="F27" s="484">
        <v>2.0230000000000001</v>
      </c>
      <c r="G27" s="485">
        <v>14.4</v>
      </c>
    </row>
    <row r="28" spans="1:7" ht="16.5" customHeight="1" x14ac:dyDescent="0.3">
      <c r="A28" s="439">
        <v>5</v>
      </c>
      <c r="B28" s="440">
        <v>32549456</v>
      </c>
      <c r="C28" s="440">
        <v>7844.1</v>
      </c>
      <c r="D28" s="441">
        <v>0.9</v>
      </c>
      <c r="E28" s="466">
        <v>10.7</v>
      </c>
      <c r="F28" s="484">
        <v>2.0230000000000001</v>
      </c>
      <c r="G28" s="485">
        <v>14.4</v>
      </c>
    </row>
    <row r="29" spans="1:7" ht="16.5" customHeight="1" thickBot="1" x14ac:dyDescent="0.35">
      <c r="A29" s="439">
        <v>6</v>
      </c>
      <c r="B29" s="444">
        <v>32628580</v>
      </c>
      <c r="C29" s="444">
        <v>7776.3</v>
      </c>
      <c r="D29" s="445">
        <v>0.9</v>
      </c>
      <c r="E29" s="468">
        <v>10.7</v>
      </c>
      <c r="F29" s="484">
        <v>2.024</v>
      </c>
      <c r="G29" s="485">
        <v>14.3</v>
      </c>
    </row>
    <row r="30" spans="1:7" ht="16.5" customHeight="1" thickBot="1" x14ac:dyDescent="0.35">
      <c r="A30" s="446" t="s">
        <v>18</v>
      </c>
      <c r="B30" s="447">
        <f t="shared" ref="B30:G30" si="0">AVERAGE(B24:B29)</f>
        <v>32440931.333333332</v>
      </c>
      <c r="C30" s="448">
        <f t="shared" si="0"/>
        <v>7949.9333333333343</v>
      </c>
      <c r="D30" s="470">
        <f t="shared" si="0"/>
        <v>0.9</v>
      </c>
      <c r="E30" s="449">
        <f t="shared" si="0"/>
        <v>10.700000000000001</v>
      </c>
      <c r="F30" s="486">
        <f t="shared" si="0"/>
        <v>2.0239999999999996</v>
      </c>
      <c r="G30" s="451">
        <f t="shared" si="0"/>
        <v>14.466666666666667</v>
      </c>
    </row>
    <row r="31" spans="1:7" ht="16.5" customHeight="1" x14ac:dyDescent="0.3">
      <c r="A31" s="452" t="s">
        <v>19</v>
      </c>
      <c r="B31" s="453">
        <f>(STDEV(B24:B29)/B30)</f>
        <v>4.0504341345161624E-3</v>
      </c>
      <c r="C31" s="454"/>
      <c r="D31" s="454"/>
      <c r="E31" s="487"/>
      <c r="F31" s="488"/>
      <c r="G31" s="489"/>
    </row>
    <row r="32" spans="1:7" s="426" customFormat="1" ht="16.5" customHeight="1" thickBot="1" x14ac:dyDescent="0.35">
      <c r="A32" s="456" t="s">
        <v>20</v>
      </c>
      <c r="B32" s="457">
        <f>COUNT(B24:B29)</f>
        <v>6</v>
      </c>
      <c r="C32" s="458"/>
      <c r="D32" s="459"/>
      <c r="E32" s="459"/>
      <c r="F32" s="490"/>
      <c r="G32" s="491"/>
    </row>
    <row r="33" spans="1:7" s="426" customFormat="1" ht="15.75" customHeight="1" x14ac:dyDescent="0.25">
      <c r="A33" s="431"/>
      <c r="B33" s="431"/>
      <c r="C33" s="431"/>
      <c r="D33" s="431"/>
      <c r="E33" s="431"/>
    </row>
    <row r="34" spans="1:7" s="426" customFormat="1" ht="16.5" customHeight="1" x14ac:dyDescent="0.3">
      <c r="A34" s="433" t="s">
        <v>21</v>
      </c>
      <c r="B34" s="461" t="s">
        <v>22</v>
      </c>
      <c r="C34" s="462"/>
      <c r="D34" s="462"/>
      <c r="E34" s="462"/>
    </row>
    <row r="35" spans="1:7" ht="16.5" customHeight="1" x14ac:dyDescent="0.3">
      <c r="A35" s="433"/>
      <c r="B35" s="461" t="s">
        <v>23</v>
      </c>
      <c r="C35" s="462"/>
      <c r="D35" s="462"/>
      <c r="E35" s="462"/>
    </row>
    <row r="36" spans="1:7" ht="16.5" customHeight="1" x14ac:dyDescent="0.3">
      <c r="A36" s="433"/>
      <c r="B36" s="461" t="s">
        <v>24</v>
      </c>
      <c r="C36" s="462"/>
      <c r="D36" s="462"/>
      <c r="E36" s="462"/>
    </row>
    <row r="37" spans="1:7" ht="16.5" customHeight="1" x14ac:dyDescent="0.3">
      <c r="A37" s="433"/>
      <c r="B37" s="461" t="s">
        <v>143</v>
      </c>
      <c r="C37" s="462"/>
      <c r="D37" s="462"/>
      <c r="E37" s="462"/>
    </row>
    <row r="38" spans="1:7" ht="15.75" customHeight="1" x14ac:dyDescent="0.25">
      <c r="A38" s="431"/>
      <c r="B38" s="431" t="s">
        <v>144</v>
      </c>
      <c r="C38" s="431"/>
      <c r="D38" s="431"/>
      <c r="E38" s="431"/>
    </row>
    <row r="39" spans="1:7" ht="16.5" customHeight="1" x14ac:dyDescent="0.3">
      <c r="A39" s="428" t="s">
        <v>1</v>
      </c>
      <c r="B39" s="429" t="s">
        <v>25</v>
      </c>
    </row>
    <row r="40" spans="1:7" ht="16.5" customHeight="1" x14ac:dyDescent="0.3">
      <c r="A40" s="433" t="s">
        <v>4</v>
      </c>
      <c r="B40" s="430" t="s">
        <v>134</v>
      </c>
      <c r="C40" s="431"/>
      <c r="D40" s="431"/>
      <c r="E40" s="431"/>
    </row>
    <row r="41" spans="1:7" ht="16.5" customHeight="1" x14ac:dyDescent="0.3">
      <c r="A41" s="433" t="s">
        <v>6</v>
      </c>
      <c r="B41" s="434">
        <v>99.02</v>
      </c>
      <c r="C41" s="431"/>
      <c r="D41" s="431"/>
      <c r="E41" s="431"/>
    </row>
    <row r="42" spans="1:7" ht="16.5" customHeight="1" x14ac:dyDescent="0.3">
      <c r="A42" s="430" t="s">
        <v>8</v>
      </c>
      <c r="B42" s="434">
        <v>15.37</v>
      </c>
      <c r="C42" s="431"/>
      <c r="D42" s="431"/>
      <c r="E42" s="431"/>
    </row>
    <row r="43" spans="1:7" ht="16.5" customHeight="1" x14ac:dyDescent="0.3">
      <c r="A43" s="430" t="s">
        <v>10</v>
      </c>
      <c r="B43" s="435">
        <v>0.1537</v>
      </c>
      <c r="C43" s="431"/>
      <c r="D43" s="431"/>
      <c r="E43" s="431"/>
    </row>
    <row r="44" spans="1:7" ht="15.75" customHeight="1" thickBot="1" x14ac:dyDescent="0.3">
      <c r="A44" s="431"/>
      <c r="B44" s="431"/>
      <c r="C44" s="431"/>
      <c r="D44" s="431"/>
      <c r="E44" s="431"/>
    </row>
    <row r="45" spans="1:7" ht="16.5" customHeight="1" thickBot="1" x14ac:dyDescent="0.35">
      <c r="A45" s="436" t="s">
        <v>13</v>
      </c>
      <c r="B45" s="437" t="s">
        <v>14</v>
      </c>
      <c r="C45" s="436" t="s">
        <v>15</v>
      </c>
      <c r="D45" s="436" t="s">
        <v>16</v>
      </c>
      <c r="E45" s="437" t="s">
        <v>17</v>
      </c>
      <c r="F45" s="463" t="s">
        <v>141</v>
      </c>
      <c r="G45" s="492" t="s">
        <v>142</v>
      </c>
    </row>
    <row r="46" spans="1:7" ht="16.5" customHeight="1" x14ac:dyDescent="0.3">
      <c r="A46" s="439">
        <v>1</v>
      </c>
      <c r="B46" s="440">
        <v>32450596</v>
      </c>
      <c r="C46" s="440">
        <v>8130.5</v>
      </c>
      <c r="D46" s="441">
        <v>0.9</v>
      </c>
      <c r="E46" s="464">
        <v>10.7</v>
      </c>
      <c r="F46" s="467">
        <v>2.0249999999999999</v>
      </c>
      <c r="G46" s="493">
        <v>14.6</v>
      </c>
    </row>
    <row r="47" spans="1:7" ht="16.5" customHeight="1" x14ac:dyDescent="0.3">
      <c r="A47" s="439">
        <v>2</v>
      </c>
      <c r="B47" s="440">
        <v>32275133</v>
      </c>
      <c r="C47" s="440">
        <v>8076</v>
      </c>
      <c r="D47" s="441">
        <v>0.9</v>
      </c>
      <c r="E47" s="466">
        <v>10.7</v>
      </c>
      <c r="F47" s="467">
        <v>2.0249999999999999</v>
      </c>
      <c r="G47" s="493">
        <v>14.6</v>
      </c>
    </row>
    <row r="48" spans="1:7" ht="16.5" customHeight="1" x14ac:dyDescent="0.3">
      <c r="A48" s="439">
        <v>3</v>
      </c>
      <c r="B48" s="440">
        <v>32402152</v>
      </c>
      <c r="C48" s="440">
        <v>7973.2</v>
      </c>
      <c r="D48" s="441">
        <v>0.9</v>
      </c>
      <c r="E48" s="466">
        <v>10.7</v>
      </c>
      <c r="F48" s="467">
        <v>2.024</v>
      </c>
      <c r="G48" s="493">
        <v>14.5</v>
      </c>
    </row>
    <row r="49" spans="1:7" ht="16.5" customHeight="1" x14ac:dyDescent="0.3">
      <c r="A49" s="439">
        <v>4</v>
      </c>
      <c r="B49" s="440">
        <v>32339671</v>
      </c>
      <c r="C49" s="440">
        <v>7899.5</v>
      </c>
      <c r="D49" s="441">
        <v>0.9</v>
      </c>
      <c r="E49" s="466">
        <v>10.7</v>
      </c>
      <c r="F49" s="467">
        <v>2.0230000000000001</v>
      </c>
      <c r="G49" s="493">
        <v>14.4</v>
      </c>
    </row>
    <row r="50" spans="1:7" ht="16.5" customHeight="1" x14ac:dyDescent="0.3">
      <c r="A50" s="439">
        <v>5</v>
      </c>
      <c r="B50" s="440">
        <v>32549456</v>
      </c>
      <c r="C50" s="440">
        <v>7844.1</v>
      </c>
      <c r="D50" s="441">
        <v>0.9</v>
      </c>
      <c r="E50" s="466">
        <v>10.7</v>
      </c>
      <c r="F50" s="467">
        <v>2.0230000000000001</v>
      </c>
      <c r="G50" s="493">
        <v>14.4</v>
      </c>
    </row>
    <row r="51" spans="1:7" ht="16.5" customHeight="1" x14ac:dyDescent="0.3">
      <c r="A51" s="439">
        <v>6</v>
      </c>
      <c r="B51" s="444">
        <v>32628580</v>
      </c>
      <c r="C51" s="444">
        <v>7776.3</v>
      </c>
      <c r="D51" s="445">
        <v>0.9</v>
      </c>
      <c r="E51" s="468">
        <v>10.7</v>
      </c>
      <c r="F51" s="467">
        <v>2.024</v>
      </c>
      <c r="G51" s="493">
        <v>14.3</v>
      </c>
    </row>
    <row r="52" spans="1:7" ht="16.5" customHeight="1" x14ac:dyDescent="0.3">
      <c r="A52" s="446" t="s">
        <v>18</v>
      </c>
      <c r="B52" s="447">
        <v>32440931.333333332</v>
      </c>
      <c r="C52" s="448">
        <v>7949.9333333333343</v>
      </c>
      <c r="D52" s="470">
        <v>0.9</v>
      </c>
      <c r="E52" s="449">
        <v>10.700000000000001</v>
      </c>
      <c r="F52" s="494">
        <v>2.0239999999999996</v>
      </c>
      <c r="G52" s="495">
        <v>14.466666666666667</v>
      </c>
    </row>
    <row r="53" spans="1:7" ht="16.5" customHeight="1" x14ac:dyDescent="0.3">
      <c r="A53" s="452" t="s">
        <v>19</v>
      </c>
      <c r="B53" s="453">
        <v>4.0504341345161624E-3</v>
      </c>
      <c r="C53" s="454"/>
      <c r="D53" s="454"/>
      <c r="E53" s="487"/>
      <c r="F53" s="488"/>
      <c r="G53" s="496"/>
    </row>
    <row r="54" spans="1:7" s="426" customFormat="1" ht="16.5" customHeight="1" thickBot="1" x14ac:dyDescent="0.35">
      <c r="A54" s="456" t="s">
        <v>20</v>
      </c>
      <c r="B54" s="457">
        <v>6</v>
      </c>
      <c r="C54" s="458"/>
      <c r="D54" s="459"/>
      <c r="E54" s="459"/>
      <c r="F54" s="490"/>
      <c r="G54" s="497"/>
    </row>
    <row r="55" spans="1:7" s="426" customFormat="1" ht="15.75" customHeight="1" x14ac:dyDescent="0.25">
      <c r="A55" s="431"/>
      <c r="B55" s="431"/>
      <c r="C55" s="431"/>
      <c r="D55" s="431"/>
      <c r="E55" s="431"/>
    </row>
    <row r="56" spans="1:7" s="426" customFormat="1" ht="16.5" customHeight="1" x14ac:dyDescent="0.3">
      <c r="A56" s="433" t="s">
        <v>21</v>
      </c>
      <c r="B56" s="461" t="s">
        <v>22</v>
      </c>
      <c r="C56" s="462"/>
      <c r="D56" s="462"/>
      <c r="E56" s="462"/>
    </row>
    <row r="57" spans="1:7" ht="16.5" customHeight="1" x14ac:dyDescent="0.3">
      <c r="A57" s="433"/>
      <c r="B57" s="461" t="s">
        <v>23</v>
      </c>
      <c r="C57" s="462"/>
      <c r="D57" s="462"/>
      <c r="E57" s="462"/>
    </row>
    <row r="58" spans="1:7" ht="16.5" customHeight="1" x14ac:dyDescent="0.3">
      <c r="A58" s="433"/>
      <c r="B58" s="461" t="s">
        <v>24</v>
      </c>
      <c r="C58" s="462"/>
      <c r="D58" s="462"/>
      <c r="E58" s="462"/>
    </row>
    <row r="59" spans="1:7" ht="14.25" customHeight="1" thickBot="1" x14ac:dyDescent="0.3">
      <c r="A59" s="472"/>
      <c r="B59" s="473"/>
      <c r="D59" s="474"/>
      <c r="F59" s="475"/>
      <c r="G59" s="475"/>
    </row>
    <row r="60" spans="1:7" ht="15" customHeight="1" x14ac:dyDescent="0.3">
      <c r="B60" s="499" t="s">
        <v>26</v>
      </c>
      <c r="C60" s="499"/>
      <c r="E60" s="476" t="s">
        <v>27</v>
      </c>
      <c r="F60" s="477"/>
      <c r="G60" s="476" t="s">
        <v>28</v>
      </c>
    </row>
    <row r="61" spans="1:7" ht="15" customHeight="1" x14ac:dyDescent="0.3">
      <c r="A61" s="478" t="s">
        <v>29</v>
      </c>
      <c r="B61" s="479" t="s">
        <v>139</v>
      </c>
      <c r="C61" s="479"/>
      <c r="E61" s="479" t="s">
        <v>140</v>
      </c>
      <c r="G61" s="479"/>
    </row>
    <row r="62" spans="1:7" ht="15" customHeight="1" x14ac:dyDescent="0.3">
      <c r="A62" s="478" t="s">
        <v>30</v>
      </c>
      <c r="B62" s="480"/>
      <c r="C62" s="480"/>
      <c r="E62" s="480"/>
      <c r="G62" s="48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zoomScale="60" workbookViewId="0">
      <selection activeCell="A11" sqref="A11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3" t="s">
        <v>31</v>
      </c>
      <c r="B11" s="504"/>
      <c r="C11" s="504"/>
      <c r="D11" s="504"/>
      <c r="E11" s="504"/>
      <c r="F11" s="505"/>
      <c r="G11" s="43"/>
    </row>
    <row r="12" spans="1:7" ht="16.5" customHeight="1" x14ac:dyDescent="0.3">
      <c r="A12" s="502" t="s">
        <v>32</v>
      </c>
      <c r="B12" s="502"/>
      <c r="C12" s="502"/>
      <c r="D12" s="502"/>
      <c r="E12" s="502"/>
      <c r="F12" s="502"/>
      <c r="G12" s="42"/>
    </row>
    <row r="14" spans="1:7" ht="16.5" customHeight="1" x14ac:dyDescent="0.3">
      <c r="A14" s="507" t="s">
        <v>33</v>
      </c>
      <c r="B14" s="507"/>
      <c r="C14" s="12" t="s">
        <v>5</v>
      </c>
    </row>
    <row r="15" spans="1:7" ht="16.5" customHeight="1" x14ac:dyDescent="0.3">
      <c r="A15" s="507" t="s">
        <v>34</v>
      </c>
      <c r="B15" s="507"/>
      <c r="C15" s="12" t="s">
        <v>7</v>
      </c>
    </row>
    <row r="16" spans="1:7" ht="16.5" customHeight="1" x14ac:dyDescent="0.3">
      <c r="A16" s="507" t="s">
        <v>35</v>
      </c>
      <c r="B16" s="507"/>
      <c r="C16" s="12" t="s">
        <v>9</v>
      </c>
    </row>
    <row r="17" spans="1:5" ht="16.5" customHeight="1" x14ac:dyDescent="0.3">
      <c r="A17" s="507" t="s">
        <v>36</v>
      </c>
      <c r="B17" s="507"/>
      <c r="C17" s="12" t="s">
        <v>11</v>
      </c>
    </row>
    <row r="18" spans="1:5" ht="16.5" customHeight="1" x14ac:dyDescent="0.3">
      <c r="A18" s="507" t="s">
        <v>37</v>
      </c>
      <c r="B18" s="507"/>
      <c r="C18" s="49" t="s">
        <v>12</v>
      </c>
    </row>
    <row r="19" spans="1:5" ht="16.5" customHeight="1" x14ac:dyDescent="0.3">
      <c r="A19" s="507" t="s">
        <v>38</v>
      </c>
      <c r="B19" s="50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02" t="s">
        <v>1</v>
      </c>
      <c r="B21" s="502"/>
      <c r="C21" s="11" t="s">
        <v>39</v>
      </c>
      <c r="D21" s="18"/>
    </row>
    <row r="22" spans="1:5" ht="15.75" customHeight="1" x14ac:dyDescent="0.3">
      <c r="A22" s="506"/>
      <c r="B22" s="506"/>
      <c r="C22" s="9"/>
      <c r="D22" s="506"/>
      <c r="E22" s="50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1083.6500000000001</v>
      </c>
      <c r="D24" s="39">
        <f t="shared" ref="D24:D43" si="0">(C24-$C$46)/$C$46</f>
        <v>1.8073486518842437E-3</v>
      </c>
      <c r="E24" s="5"/>
    </row>
    <row r="25" spans="1:5" ht="15.75" customHeight="1" x14ac:dyDescent="0.3">
      <c r="C25" s="47">
        <v>1083.55</v>
      </c>
      <c r="D25" s="40">
        <f t="shared" si="0"/>
        <v>1.714901150508961E-3</v>
      </c>
      <c r="E25" s="5"/>
    </row>
    <row r="26" spans="1:5" ht="15.75" customHeight="1" x14ac:dyDescent="0.3">
      <c r="C26" s="47">
        <v>1086.52</v>
      </c>
      <c r="D26" s="40">
        <f t="shared" si="0"/>
        <v>4.4605919413511367E-3</v>
      </c>
      <c r="E26" s="5"/>
    </row>
    <row r="27" spans="1:5" ht="15.75" customHeight="1" x14ac:dyDescent="0.3">
      <c r="C27" s="47">
        <v>1083.29</v>
      </c>
      <c r="D27" s="40">
        <f t="shared" si="0"/>
        <v>1.4745376469335622E-3</v>
      </c>
      <c r="E27" s="5"/>
    </row>
    <row r="28" spans="1:5" ht="15.75" customHeight="1" x14ac:dyDescent="0.3">
      <c r="C28" s="47">
        <v>1082.7</v>
      </c>
      <c r="D28" s="40">
        <f t="shared" si="0"/>
        <v>9.2909738882021424E-4</v>
      </c>
      <c r="E28" s="5"/>
    </row>
    <row r="29" spans="1:5" ht="15.75" customHeight="1" x14ac:dyDescent="0.3">
      <c r="C29" s="47">
        <v>1085.6300000000001</v>
      </c>
      <c r="D29" s="40">
        <f t="shared" si="0"/>
        <v>3.6378091791123605E-3</v>
      </c>
      <c r="E29" s="5"/>
    </row>
    <row r="30" spans="1:5" ht="15.75" customHeight="1" x14ac:dyDescent="0.3">
      <c r="C30" s="47">
        <v>1071.6500000000001</v>
      </c>
      <c r="D30" s="40">
        <f t="shared" si="0"/>
        <v>-9.2863515131345453E-3</v>
      </c>
      <c r="E30" s="5"/>
    </row>
    <row r="31" spans="1:5" ht="15.75" customHeight="1" x14ac:dyDescent="0.3">
      <c r="C31" s="47">
        <v>1076.7</v>
      </c>
      <c r="D31" s="40">
        <f t="shared" si="0"/>
        <v>-4.61775269368918E-3</v>
      </c>
      <c r="E31" s="5"/>
    </row>
    <row r="32" spans="1:5" ht="15.75" customHeight="1" x14ac:dyDescent="0.3">
      <c r="C32" s="47">
        <v>1069.6099999999999</v>
      </c>
      <c r="D32" s="40">
        <f t="shared" si="0"/>
        <v>-1.1172280541187915E-2</v>
      </c>
      <c r="E32" s="5"/>
    </row>
    <row r="33" spans="1:7" ht="15.75" customHeight="1" x14ac:dyDescent="0.3">
      <c r="C33" s="47">
        <v>1077.25</v>
      </c>
      <c r="D33" s="40">
        <f t="shared" si="0"/>
        <v>-4.1092914361258604E-3</v>
      </c>
      <c r="E33" s="5"/>
    </row>
    <row r="34" spans="1:7" ht="15.75" customHeight="1" x14ac:dyDescent="0.3">
      <c r="C34" s="47">
        <v>1090.0999999999999</v>
      </c>
      <c r="D34" s="40">
        <f t="shared" si="0"/>
        <v>7.7702124905816745E-3</v>
      </c>
      <c r="E34" s="5"/>
    </row>
    <row r="35" spans="1:7" ht="15.75" customHeight="1" x14ac:dyDescent="0.3">
      <c r="C35" s="47">
        <v>1086.48</v>
      </c>
      <c r="D35" s="40">
        <f t="shared" si="0"/>
        <v>4.4236129408011075E-3</v>
      </c>
      <c r="E35" s="5"/>
    </row>
    <row r="36" spans="1:7" ht="15.75" customHeight="1" x14ac:dyDescent="0.3">
      <c r="C36" s="47">
        <v>1073.98</v>
      </c>
      <c r="D36" s="40">
        <f t="shared" si="0"/>
        <v>-7.1323247310934642E-3</v>
      </c>
      <c r="E36" s="5"/>
    </row>
    <row r="37" spans="1:7" ht="15.75" customHeight="1" x14ac:dyDescent="0.3">
      <c r="C37" s="47">
        <v>1084.52</v>
      </c>
      <c r="D37" s="40">
        <f t="shared" si="0"/>
        <v>2.6116419138480047E-3</v>
      </c>
      <c r="E37" s="5"/>
    </row>
    <row r="38" spans="1:7" ht="15.75" customHeight="1" x14ac:dyDescent="0.3">
      <c r="C38" s="47">
        <v>1071.33</v>
      </c>
      <c r="D38" s="40">
        <f t="shared" si="0"/>
        <v>-9.5821835175351963E-3</v>
      </c>
      <c r="E38" s="5"/>
    </row>
    <row r="39" spans="1:7" ht="15.75" customHeight="1" x14ac:dyDescent="0.3">
      <c r="C39" s="47">
        <v>1090.31</v>
      </c>
      <c r="D39" s="40">
        <f t="shared" si="0"/>
        <v>7.9643522434695371E-3</v>
      </c>
      <c r="E39" s="5"/>
    </row>
    <row r="40" spans="1:7" ht="15.75" customHeight="1" x14ac:dyDescent="0.3">
      <c r="C40" s="47">
        <v>1091.29</v>
      </c>
      <c r="D40" s="40">
        <f t="shared" si="0"/>
        <v>8.8703377569460881E-3</v>
      </c>
      <c r="E40" s="5"/>
    </row>
    <row r="41" spans="1:7" ht="15.75" customHeight="1" x14ac:dyDescent="0.3">
      <c r="C41" s="47">
        <v>1081.92</v>
      </c>
      <c r="D41" s="40">
        <f t="shared" si="0"/>
        <v>2.0800687809401821E-4</v>
      </c>
      <c r="E41" s="5"/>
    </row>
    <row r="42" spans="1:7" ht="15.75" customHeight="1" x14ac:dyDescent="0.3">
      <c r="C42" s="47">
        <v>1089.3499999999999</v>
      </c>
      <c r="D42" s="40">
        <f t="shared" si="0"/>
        <v>7.0768562302680003E-3</v>
      </c>
      <c r="E42" s="5"/>
    </row>
    <row r="43" spans="1:7" ht="16.5" customHeight="1" x14ac:dyDescent="0.3">
      <c r="C43" s="48">
        <v>1074.07</v>
      </c>
      <c r="D43" s="41">
        <f t="shared" si="0"/>
        <v>-7.0491219798558989E-3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21633.9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1081.6950000000002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00">
        <f>C46</f>
        <v>1081.6950000000002</v>
      </c>
      <c r="C49" s="45">
        <f>-IF(C46&lt;=80,10%,IF(C46&lt;250,7.5%,5%))</f>
        <v>-0.05</v>
      </c>
      <c r="D49" s="33">
        <f>IF(C46&lt;=80,C46*0.9,IF(C46&lt;250,C46*0.925,C46*0.95))</f>
        <v>1027.6102500000002</v>
      </c>
    </row>
    <row r="50" spans="1:6" ht="17.25" customHeight="1" x14ac:dyDescent="0.3">
      <c r="B50" s="501"/>
      <c r="C50" s="46">
        <f>IF(C46&lt;=80, 10%, IF(C46&lt;250, 7.5%, 5%))</f>
        <v>0.05</v>
      </c>
      <c r="D50" s="33">
        <f>IF(C46&lt;=80, C46*1.1, IF(C46&lt;250, C46*1.075, C46*1.05))</f>
        <v>1135.7797500000001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60" zoomScaleNormal="40" zoomScalePageLayoutView="6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38" t="s">
        <v>45</v>
      </c>
      <c r="B1" s="538"/>
      <c r="C1" s="538"/>
      <c r="D1" s="538"/>
      <c r="E1" s="538"/>
      <c r="F1" s="538"/>
      <c r="G1" s="538"/>
      <c r="H1" s="538"/>
      <c r="I1" s="538"/>
    </row>
    <row r="2" spans="1:9" ht="18.75" customHeight="1" x14ac:dyDescent="0.25">
      <c r="A2" s="538"/>
      <c r="B2" s="538"/>
      <c r="C2" s="538"/>
      <c r="D2" s="538"/>
      <c r="E2" s="538"/>
      <c r="F2" s="538"/>
      <c r="G2" s="538"/>
      <c r="H2" s="538"/>
      <c r="I2" s="538"/>
    </row>
    <row r="3" spans="1:9" ht="18.75" customHeight="1" x14ac:dyDescent="0.25">
      <c r="A3" s="538"/>
      <c r="B3" s="538"/>
      <c r="C3" s="538"/>
      <c r="D3" s="538"/>
      <c r="E3" s="538"/>
      <c r="F3" s="538"/>
      <c r="G3" s="538"/>
      <c r="H3" s="538"/>
      <c r="I3" s="538"/>
    </row>
    <row r="4" spans="1:9" ht="18.75" customHeight="1" x14ac:dyDescent="0.25">
      <c r="A4" s="538"/>
      <c r="B4" s="538"/>
      <c r="C4" s="538"/>
      <c r="D4" s="538"/>
      <c r="E4" s="538"/>
      <c r="F4" s="538"/>
      <c r="G4" s="538"/>
      <c r="H4" s="538"/>
      <c r="I4" s="538"/>
    </row>
    <row r="5" spans="1:9" ht="18.75" customHeight="1" x14ac:dyDescent="0.25">
      <c r="A5" s="538"/>
      <c r="B5" s="538"/>
      <c r="C5" s="538"/>
      <c r="D5" s="538"/>
      <c r="E5" s="538"/>
      <c r="F5" s="538"/>
      <c r="G5" s="538"/>
      <c r="H5" s="538"/>
      <c r="I5" s="538"/>
    </row>
    <row r="6" spans="1:9" ht="18.75" customHeight="1" x14ac:dyDescent="0.25">
      <c r="A6" s="538"/>
      <c r="B6" s="538"/>
      <c r="C6" s="538"/>
      <c r="D6" s="538"/>
      <c r="E6" s="538"/>
      <c r="F6" s="538"/>
      <c r="G6" s="538"/>
      <c r="H6" s="538"/>
      <c r="I6" s="538"/>
    </row>
    <row r="7" spans="1:9" ht="18.75" customHeight="1" x14ac:dyDescent="0.25">
      <c r="A7" s="538"/>
      <c r="B7" s="538"/>
      <c r="C7" s="538"/>
      <c r="D7" s="538"/>
      <c r="E7" s="538"/>
      <c r="F7" s="538"/>
      <c r="G7" s="538"/>
      <c r="H7" s="538"/>
      <c r="I7" s="538"/>
    </row>
    <row r="8" spans="1:9" x14ac:dyDescent="0.25">
      <c r="A8" s="539" t="s">
        <v>46</v>
      </c>
      <c r="B8" s="539"/>
      <c r="C8" s="539"/>
      <c r="D8" s="539"/>
      <c r="E8" s="539"/>
      <c r="F8" s="539"/>
      <c r="G8" s="539"/>
      <c r="H8" s="539"/>
      <c r="I8" s="539"/>
    </row>
    <row r="9" spans="1:9" x14ac:dyDescent="0.25">
      <c r="A9" s="539"/>
      <c r="B9" s="539"/>
      <c r="C9" s="539"/>
      <c r="D9" s="539"/>
      <c r="E9" s="539"/>
      <c r="F9" s="539"/>
      <c r="G9" s="539"/>
      <c r="H9" s="539"/>
      <c r="I9" s="539"/>
    </row>
    <row r="10" spans="1:9" x14ac:dyDescent="0.25">
      <c r="A10" s="539"/>
      <c r="B10" s="539"/>
      <c r="C10" s="539"/>
      <c r="D10" s="539"/>
      <c r="E10" s="539"/>
      <c r="F10" s="539"/>
      <c r="G10" s="539"/>
      <c r="H10" s="539"/>
      <c r="I10" s="539"/>
    </row>
    <row r="11" spans="1:9" x14ac:dyDescent="0.25">
      <c r="A11" s="539"/>
      <c r="B11" s="539"/>
      <c r="C11" s="539"/>
      <c r="D11" s="539"/>
      <c r="E11" s="539"/>
      <c r="F11" s="539"/>
      <c r="G11" s="539"/>
      <c r="H11" s="539"/>
      <c r="I11" s="539"/>
    </row>
    <row r="12" spans="1:9" x14ac:dyDescent="0.25">
      <c r="A12" s="539"/>
      <c r="B12" s="539"/>
      <c r="C12" s="539"/>
      <c r="D12" s="539"/>
      <c r="E12" s="539"/>
      <c r="F12" s="539"/>
      <c r="G12" s="539"/>
      <c r="H12" s="539"/>
      <c r="I12" s="539"/>
    </row>
    <row r="13" spans="1:9" x14ac:dyDescent="0.25">
      <c r="A13" s="539"/>
      <c r="B13" s="539"/>
      <c r="C13" s="539"/>
      <c r="D13" s="539"/>
      <c r="E13" s="539"/>
      <c r="F13" s="539"/>
      <c r="G13" s="539"/>
      <c r="H13" s="539"/>
      <c r="I13" s="539"/>
    </row>
    <row r="14" spans="1:9" x14ac:dyDescent="0.25">
      <c r="A14" s="539"/>
      <c r="B14" s="539"/>
      <c r="C14" s="539"/>
      <c r="D14" s="539"/>
      <c r="E14" s="539"/>
      <c r="F14" s="539"/>
      <c r="G14" s="539"/>
      <c r="H14" s="539"/>
      <c r="I14" s="539"/>
    </row>
    <row r="15" spans="1:9" ht="19.5" customHeight="1" x14ac:dyDescent="0.3">
      <c r="A15" s="50"/>
    </row>
    <row r="16" spans="1:9" ht="19.5" customHeight="1" x14ac:dyDescent="0.3">
      <c r="A16" s="511" t="s">
        <v>31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25">
      <c r="A17" s="514" t="s">
        <v>47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4">
      <c r="A18" s="52" t="s">
        <v>33</v>
      </c>
      <c r="B18" s="510" t="s">
        <v>5</v>
      </c>
      <c r="C18" s="510"/>
      <c r="D18" s="197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15" t="s">
        <v>131</v>
      </c>
      <c r="C20" s="51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15" t="s">
        <v>11</v>
      </c>
      <c r="C21" s="515"/>
      <c r="D21" s="515"/>
      <c r="E21" s="515"/>
      <c r="F21" s="515"/>
      <c r="G21" s="515"/>
      <c r="H21" s="51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0" t="s">
        <v>131</v>
      </c>
      <c r="C26" s="510"/>
    </row>
    <row r="27" spans="1:14" ht="26.25" customHeight="1" x14ac:dyDescent="0.4">
      <c r="A27" s="61" t="s">
        <v>48</v>
      </c>
      <c r="B27" s="516" t="s">
        <v>132</v>
      </c>
      <c r="C27" s="516"/>
    </row>
    <row r="28" spans="1:14" ht="27" customHeight="1" x14ac:dyDescent="0.4">
      <c r="A28" s="61" t="s">
        <v>6</v>
      </c>
      <c r="B28" s="62">
        <v>99.7</v>
      </c>
    </row>
    <row r="29" spans="1:14" s="3" customFormat="1" ht="27" customHeight="1" x14ac:dyDescent="0.4">
      <c r="A29" s="61" t="s">
        <v>49</v>
      </c>
      <c r="B29" s="63"/>
      <c r="C29" s="517" t="s">
        <v>50</v>
      </c>
      <c r="D29" s="518"/>
      <c r="E29" s="518"/>
      <c r="F29" s="518"/>
      <c r="G29" s="51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20" t="s">
        <v>53</v>
      </c>
      <c r="D31" s="521"/>
      <c r="E31" s="521"/>
      <c r="F31" s="521"/>
      <c r="G31" s="521"/>
      <c r="H31" s="52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20" t="s">
        <v>55</v>
      </c>
      <c r="D32" s="521"/>
      <c r="E32" s="521"/>
      <c r="F32" s="521"/>
      <c r="G32" s="521"/>
      <c r="H32" s="52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523" t="s">
        <v>59</v>
      </c>
      <c r="E36" s="524"/>
      <c r="F36" s="523" t="s">
        <v>60</v>
      </c>
      <c r="G36" s="52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100</v>
      </c>
      <c r="C38" s="83">
        <v>1</v>
      </c>
      <c r="D38" s="271">
        <v>2778373</v>
      </c>
      <c r="E38" s="84">
        <f>IF(ISBLANK(D38),"-",$D$48/$D$45*D38)</f>
        <v>2481507.7467487054</v>
      </c>
      <c r="F38" s="271">
        <v>2519748</v>
      </c>
      <c r="G38" s="85">
        <f>IF(ISBLANK(F38),"-",$D$48/$F$45*F38)</f>
        <v>2496128.3851554664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276">
        <v>2823837</v>
      </c>
      <c r="E39" s="89">
        <f>IF(ISBLANK(D39),"-",$D$48/$D$45*D39)</f>
        <v>2522113.9821959198</v>
      </c>
      <c r="F39" s="276">
        <v>2528860</v>
      </c>
      <c r="G39" s="90">
        <f>IF(ISBLANK(F39),"-",$D$48/$F$45*F39)</f>
        <v>2505154.9710860979</v>
      </c>
      <c r="I39" s="527">
        <f>ABS((F43/D43*D42)-F42)/D42</f>
        <v>3.3221657788246703E-3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276">
        <v>2808110</v>
      </c>
      <c r="E40" s="89">
        <f>IF(ISBLANK(D40),"-",$D$48/$D$45*D40)</f>
        <v>2508067.3900597608</v>
      </c>
      <c r="F40" s="276">
        <v>2506220</v>
      </c>
      <c r="G40" s="90">
        <f>IF(ISBLANK(F40),"-",$D$48/$F$45*F40)</f>
        <v>2482727.1939274613</v>
      </c>
      <c r="I40" s="527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7" t="s">
        <v>71</v>
      </c>
      <c r="D42" s="98">
        <f>AVERAGE(D38:D41)</f>
        <v>2803440</v>
      </c>
      <c r="E42" s="99">
        <f>AVERAGE(E38:E41)</f>
        <v>2503896.3730014623</v>
      </c>
      <c r="F42" s="98">
        <f>AVERAGE(F38:F41)</f>
        <v>2518276</v>
      </c>
      <c r="G42" s="100">
        <f>AVERAGE(G38:G41)</f>
        <v>2494670.1833896753</v>
      </c>
      <c r="H42" s="101"/>
    </row>
    <row r="43" spans="1:14" ht="26.25" customHeight="1" x14ac:dyDescent="0.4">
      <c r="A43" s="76" t="s">
        <v>72</v>
      </c>
      <c r="B43" s="77">
        <v>1</v>
      </c>
      <c r="C43" s="102" t="s">
        <v>73</v>
      </c>
      <c r="D43" s="103">
        <v>22.46</v>
      </c>
      <c r="E43" s="91"/>
      <c r="F43" s="103">
        <v>20.25</v>
      </c>
      <c r="H43" s="101"/>
    </row>
    <row r="44" spans="1:14" ht="26.25" customHeight="1" x14ac:dyDescent="0.4">
      <c r="A44" s="76" t="s">
        <v>74</v>
      </c>
      <c r="B44" s="77">
        <v>1</v>
      </c>
      <c r="C44" s="104" t="s">
        <v>75</v>
      </c>
      <c r="D44" s="105">
        <f>D43*$B$34</f>
        <v>22.46</v>
      </c>
      <c r="E44" s="106"/>
      <c r="F44" s="105">
        <f>F43*$B$34</f>
        <v>20.25</v>
      </c>
      <c r="H44" s="101"/>
    </row>
    <row r="45" spans="1:14" ht="19.5" customHeight="1" x14ac:dyDescent="0.3">
      <c r="A45" s="76" t="s">
        <v>76</v>
      </c>
      <c r="B45" s="107">
        <f>(B44/B43)*(B42/B41)*(B40/B39)*(B38/B37)*B36</f>
        <v>625</v>
      </c>
      <c r="C45" s="104" t="s">
        <v>77</v>
      </c>
      <c r="D45" s="108">
        <f>D44*$B$30/100</f>
        <v>22.392620000000001</v>
      </c>
      <c r="E45" s="109"/>
      <c r="F45" s="108">
        <f>F44*$B$30/100</f>
        <v>20.189250000000001</v>
      </c>
      <c r="H45" s="101"/>
    </row>
    <row r="46" spans="1:14" ht="19.5" customHeight="1" x14ac:dyDescent="0.3">
      <c r="A46" s="528" t="s">
        <v>78</v>
      </c>
      <c r="B46" s="529"/>
      <c r="C46" s="104" t="s">
        <v>79</v>
      </c>
      <c r="D46" s="110">
        <f>D45/$B$45</f>
        <v>3.5828192000000002E-2</v>
      </c>
      <c r="E46" s="111"/>
      <c r="F46" s="112">
        <f>F45/$B$45</f>
        <v>3.23028E-2</v>
      </c>
      <c r="H46" s="101"/>
    </row>
    <row r="47" spans="1:14" ht="27" customHeight="1" x14ac:dyDescent="0.4">
      <c r="A47" s="530"/>
      <c r="B47" s="531"/>
      <c r="C47" s="113" t="s">
        <v>80</v>
      </c>
      <c r="D47" s="114">
        <v>3.2000000000000001E-2</v>
      </c>
      <c r="E47" s="115"/>
      <c r="F47" s="111"/>
      <c r="H47" s="101"/>
    </row>
    <row r="48" spans="1:14" ht="18.75" x14ac:dyDescent="0.3">
      <c r="C48" s="116" t="s">
        <v>81</v>
      </c>
      <c r="D48" s="108">
        <f>D47*$B$45</f>
        <v>20</v>
      </c>
      <c r="F48" s="117"/>
      <c r="H48" s="101"/>
    </row>
    <row r="49" spans="1:12" ht="19.5" customHeight="1" x14ac:dyDescent="0.3">
      <c r="C49" s="118" t="s">
        <v>82</v>
      </c>
      <c r="D49" s="119">
        <f>D48/B34</f>
        <v>20</v>
      </c>
      <c r="F49" s="117"/>
      <c r="H49" s="101"/>
    </row>
    <row r="50" spans="1:12" ht="18.75" x14ac:dyDescent="0.3">
      <c r="C50" s="74" t="s">
        <v>83</v>
      </c>
      <c r="D50" s="120">
        <f>AVERAGE(E38:E41,G38:G41)</f>
        <v>2499283.2781955688</v>
      </c>
      <c r="F50" s="121"/>
      <c r="H50" s="101"/>
    </row>
    <row r="51" spans="1:12" ht="18.75" x14ac:dyDescent="0.3">
      <c r="C51" s="76" t="s">
        <v>84</v>
      </c>
      <c r="D51" s="122">
        <f>STDEV(E38:E41,G38:G41)/D50</f>
        <v>6.2829609900289518E-3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1" t="s">
        <v>86</v>
      </c>
      <c r="B55" s="127" t="str">
        <f>B21</f>
        <v>Each tablet contains: Sulfamethoxazole BP 800 mg and Trimethoprim BP 160 mg.</v>
      </c>
    </row>
    <row r="56" spans="1:12" ht="26.25" customHeight="1" x14ac:dyDescent="0.4">
      <c r="A56" s="128" t="s">
        <v>87</v>
      </c>
      <c r="B56" s="129">
        <v>160</v>
      </c>
      <c r="C56" s="51" t="str">
        <f>B20</f>
        <v>Trimethoprim</v>
      </c>
      <c r="H56" s="130"/>
    </row>
    <row r="57" spans="1:12" ht="18.75" x14ac:dyDescent="0.3">
      <c r="A57" s="127" t="s">
        <v>88</v>
      </c>
      <c r="B57" s="198">
        <f>Uniformity!C46</f>
        <v>1081.6950000000002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532" t="s">
        <v>94</v>
      </c>
      <c r="D60" s="535">
        <v>1094.17</v>
      </c>
      <c r="E60" s="133">
        <v>1</v>
      </c>
      <c r="F60" s="134">
        <v>2431527</v>
      </c>
      <c r="G60" s="199">
        <f>IF(ISBLANK(F60),"-",(F60/$D$50*$D$47*$B$68)*($B$57/$D$60))</f>
        <v>153.88759580679056</v>
      </c>
      <c r="H60" s="217">
        <f t="shared" ref="H60:H71" si="0">IF(ISBLANK(F60),"-",(G60/$B$56)*100)</f>
        <v>96.179747379244091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533"/>
      <c r="D61" s="536"/>
      <c r="E61" s="135">
        <v>2</v>
      </c>
      <c r="F61" s="88">
        <v>2457067</v>
      </c>
      <c r="G61" s="200">
        <f>IF(ISBLANK(F61),"-",(F61/$D$50*$D$47*$B$68)*($B$57/$D$60))</f>
        <v>155.50398303872561</v>
      </c>
      <c r="H61" s="218">
        <f t="shared" si="0"/>
        <v>97.189989399203498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33"/>
      <c r="D62" s="536"/>
      <c r="E62" s="135">
        <v>3</v>
      </c>
      <c r="F62" s="136">
        <v>2443807</v>
      </c>
      <c r="G62" s="200">
        <f>IF(ISBLANK(F62),"-",(F62/$D$50*$D$47*$B$68)*($B$57/$D$60))</f>
        <v>154.66477807805771</v>
      </c>
      <c r="H62" s="218">
        <f t="shared" si="0"/>
        <v>96.665486298786064</v>
      </c>
      <c r="L62" s="64"/>
    </row>
    <row r="63" spans="1:12" ht="27" customHeight="1" x14ac:dyDescent="0.4">
      <c r="A63" s="76" t="s">
        <v>97</v>
      </c>
      <c r="B63" s="77">
        <v>1</v>
      </c>
      <c r="C63" s="534"/>
      <c r="D63" s="537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32" t="s">
        <v>99</v>
      </c>
      <c r="D64" s="535">
        <v>1075.25</v>
      </c>
      <c r="E64" s="133">
        <v>1</v>
      </c>
      <c r="F64" s="134">
        <v>2483226</v>
      </c>
      <c r="G64" s="199">
        <f>IF(ISBLANK(F64),"-",(F64/$D$50*$D$47*$B$68)*($B$57/$D$64))</f>
        <v>159.92491072494772</v>
      </c>
      <c r="H64" s="217">
        <f t="shared" si="0"/>
        <v>99.953069203092326</v>
      </c>
    </row>
    <row r="65" spans="1:8" ht="26.25" customHeight="1" x14ac:dyDescent="0.4">
      <c r="A65" s="76" t="s">
        <v>100</v>
      </c>
      <c r="B65" s="77">
        <v>1</v>
      </c>
      <c r="C65" s="533"/>
      <c r="D65" s="536"/>
      <c r="E65" s="135">
        <v>2</v>
      </c>
      <c r="F65" s="88">
        <v>2456579</v>
      </c>
      <c r="G65" s="200">
        <f>IF(ISBLANK(F65),"-",(F65/$D$50*$D$47*$B$68)*($B$57/$D$64))</f>
        <v>158.20878859345922</v>
      </c>
      <c r="H65" s="218">
        <f t="shared" si="0"/>
        <v>98.880492870912008</v>
      </c>
    </row>
    <row r="66" spans="1:8" ht="26.25" customHeight="1" x14ac:dyDescent="0.4">
      <c r="A66" s="76" t="s">
        <v>101</v>
      </c>
      <c r="B66" s="77">
        <v>1</v>
      </c>
      <c r="C66" s="533"/>
      <c r="D66" s="536"/>
      <c r="E66" s="135">
        <v>3</v>
      </c>
      <c r="F66" s="88">
        <v>2458920</v>
      </c>
      <c r="G66" s="200">
        <f>IF(ISBLANK(F66),"-",(F66/$D$50*$D$47*$B$68)*($B$57/$D$64))</f>
        <v>158.35955385445723</v>
      </c>
      <c r="H66" s="218">
        <f t="shared" si="0"/>
        <v>98.974721159035767</v>
      </c>
    </row>
    <row r="67" spans="1:8" ht="27" customHeight="1" x14ac:dyDescent="0.4">
      <c r="A67" s="76" t="s">
        <v>102</v>
      </c>
      <c r="B67" s="77">
        <v>1</v>
      </c>
      <c r="C67" s="534"/>
      <c r="D67" s="537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103</v>
      </c>
      <c r="B68" s="139">
        <f>(B67/B66)*(B65/B64)*(B63/B62)*(B61/B60)*B59</f>
        <v>5000</v>
      </c>
      <c r="C68" s="532" t="s">
        <v>104</v>
      </c>
      <c r="D68" s="535">
        <v>1084.03</v>
      </c>
      <c r="E68" s="133">
        <v>1</v>
      </c>
      <c r="F68" s="134">
        <v>2446568</v>
      </c>
      <c r="G68" s="199">
        <f>IF(ISBLANK(F68),"-",(F68/$D$50*$D$47*$B$68)*($B$57/$D$68))</f>
        <v>156.28788398503477</v>
      </c>
      <c r="H68" s="218">
        <f t="shared" si="0"/>
        <v>97.679927490646733</v>
      </c>
    </row>
    <row r="69" spans="1:8" ht="27" customHeight="1" x14ac:dyDescent="0.4">
      <c r="A69" s="123" t="s">
        <v>105</v>
      </c>
      <c r="B69" s="140">
        <f>(D47*B68)/B56*B57</f>
        <v>1081.6950000000002</v>
      </c>
      <c r="C69" s="533"/>
      <c r="D69" s="536"/>
      <c r="E69" s="135">
        <v>2</v>
      </c>
      <c r="F69" s="88">
        <v>2466070</v>
      </c>
      <c r="G69" s="200">
        <f>IF(ISBLANK(F69),"-",(F69/$D$50*$D$47*$B$68)*($B$57/$D$68))</f>
        <v>157.53368067389692</v>
      </c>
      <c r="H69" s="218">
        <f t="shared" si="0"/>
        <v>98.458550421185578</v>
      </c>
    </row>
    <row r="70" spans="1:8" ht="26.25" customHeight="1" x14ac:dyDescent="0.4">
      <c r="A70" s="545" t="s">
        <v>78</v>
      </c>
      <c r="B70" s="546"/>
      <c r="C70" s="533"/>
      <c r="D70" s="536"/>
      <c r="E70" s="135">
        <v>3</v>
      </c>
      <c r="F70" s="88">
        <v>2471790</v>
      </c>
      <c r="G70" s="200">
        <f>IF(ISBLANK(F70),"-",(F70/$D$50*$D$47*$B$68)*($B$57/$D$68))</f>
        <v>157.89907689276126</v>
      </c>
      <c r="H70" s="218">
        <f t="shared" si="0"/>
        <v>98.68692305797579</v>
      </c>
    </row>
    <row r="71" spans="1:8" ht="27" customHeight="1" x14ac:dyDescent="0.4">
      <c r="A71" s="547"/>
      <c r="B71" s="548"/>
      <c r="C71" s="544"/>
      <c r="D71" s="537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3" t="s">
        <v>71</v>
      </c>
      <c r="G72" s="205">
        <f>AVERAGE(G60:G71)</f>
        <v>156.91891684979231</v>
      </c>
      <c r="H72" s="220">
        <f>AVERAGE(H60:H71)</f>
        <v>98.074323031120201</v>
      </c>
    </row>
    <row r="73" spans="1:8" ht="26.25" customHeight="1" x14ac:dyDescent="0.4">
      <c r="C73" s="141"/>
      <c r="D73" s="141"/>
      <c r="E73" s="141"/>
      <c r="F73" s="144" t="s">
        <v>84</v>
      </c>
      <c r="G73" s="204">
        <f>STDEV(G60:G71)/G72</f>
        <v>1.2500955856120275E-2</v>
      </c>
      <c r="H73" s="204">
        <f>STDEV(H60:H71)/H72</f>
        <v>1.2500955856120292E-2</v>
      </c>
    </row>
    <row r="74" spans="1:8" ht="27" customHeight="1" x14ac:dyDescent="0.4">
      <c r="A74" s="141"/>
      <c r="B74" s="141"/>
      <c r="C74" s="142"/>
      <c r="D74" s="142"/>
      <c r="E74" s="145"/>
      <c r="F74" s="146" t="s">
        <v>20</v>
      </c>
      <c r="G74" s="147">
        <f>COUNT(G60:G71)</f>
        <v>9</v>
      </c>
      <c r="H74" s="147">
        <f>COUNT(H60:H71)</f>
        <v>9</v>
      </c>
    </row>
    <row r="76" spans="1:8" ht="26.25" customHeight="1" x14ac:dyDescent="0.4">
      <c r="A76" s="60" t="s">
        <v>106</v>
      </c>
      <c r="B76" s="148" t="s">
        <v>107</v>
      </c>
      <c r="C76" s="540" t="str">
        <f>B26</f>
        <v>Trimethoprim</v>
      </c>
      <c r="D76" s="540"/>
      <c r="E76" s="149" t="s">
        <v>108</v>
      </c>
      <c r="F76" s="149"/>
      <c r="G76" s="236">
        <f>H72</f>
        <v>98.074323031120201</v>
      </c>
      <c r="H76" s="151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26" t="str">
        <f>B26</f>
        <v>Trimethoprim</v>
      </c>
      <c r="C79" s="526"/>
    </row>
    <row r="80" spans="1:8" ht="26.25" customHeight="1" x14ac:dyDescent="0.4">
      <c r="A80" s="61" t="s">
        <v>48</v>
      </c>
      <c r="B80" s="526" t="str">
        <f>B27</f>
        <v>T7-5</v>
      </c>
      <c r="C80" s="526"/>
    </row>
    <row r="81" spans="1:12" ht="27" customHeight="1" x14ac:dyDescent="0.4">
      <c r="A81" s="61" t="s">
        <v>6</v>
      </c>
      <c r="B81" s="152">
        <f>B28</f>
        <v>99.7</v>
      </c>
    </row>
    <row r="82" spans="1:12" s="3" customFormat="1" ht="27" customHeight="1" x14ac:dyDescent="0.4">
      <c r="A82" s="61" t="s">
        <v>49</v>
      </c>
      <c r="B82" s="63">
        <v>0</v>
      </c>
      <c r="C82" s="517" t="s">
        <v>50</v>
      </c>
      <c r="D82" s="518"/>
      <c r="E82" s="518"/>
      <c r="F82" s="518"/>
      <c r="G82" s="51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20" t="s">
        <v>111</v>
      </c>
      <c r="D84" s="521"/>
      <c r="E84" s="521"/>
      <c r="F84" s="521"/>
      <c r="G84" s="521"/>
      <c r="H84" s="52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20" t="s">
        <v>112</v>
      </c>
      <c r="D85" s="521"/>
      <c r="E85" s="521"/>
      <c r="F85" s="521"/>
      <c r="G85" s="521"/>
      <c r="H85" s="52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25</v>
      </c>
      <c r="D89" s="153" t="s">
        <v>59</v>
      </c>
      <c r="E89" s="154"/>
      <c r="F89" s="523" t="s">
        <v>60</v>
      </c>
      <c r="G89" s="525"/>
    </row>
    <row r="90" spans="1:12" ht="27" customHeight="1" x14ac:dyDescent="0.4">
      <c r="A90" s="76" t="s">
        <v>61</v>
      </c>
      <c r="B90" s="77">
        <v>4</v>
      </c>
      <c r="C90" s="155" t="s">
        <v>62</v>
      </c>
      <c r="D90" s="79" t="s">
        <v>63</v>
      </c>
      <c r="E90" s="80" t="s">
        <v>64</v>
      </c>
      <c r="F90" s="79" t="s">
        <v>63</v>
      </c>
      <c r="G90" s="156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57">
        <v>1</v>
      </c>
      <c r="D91" s="271">
        <v>2778373</v>
      </c>
      <c r="E91" s="84">
        <f>IF(ISBLANK(D91),"-",$D$101/$D$98*D91)</f>
        <v>2757230.829720784</v>
      </c>
      <c r="F91" s="271">
        <v>2519748</v>
      </c>
      <c r="G91" s="85">
        <f>IF(ISBLANK(F91),"-",$D$101/$F$98*F91)</f>
        <v>2773475.9835060732</v>
      </c>
      <c r="I91" s="86"/>
    </row>
    <row r="92" spans="1:12" ht="26.25" customHeight="1" x14ac:dyDescent="0.4">
      <c r="A92" s="76" t="s">
        <v>67</v>
      </c>
      <c r="B92" s="77">
        <v>1</v>
      </c>
      <c r="C92" s="142">
        <v>2</v>
      </c>
      <c r="D92" s="276">
        <v>2823837</v>
      </c>
      <c r="E92" s="89">
        <f>IF(ISBLANK(D92),"-",$D$101/$D$98*D92)</f>
        <v>2802348.8691065777</v>
      </c>
      <c r="F92" s="276">
        <v>2528860</v>
      </c>
      <c r="G92" s="90">
        <f>IF(ISBLANK(F92),"-",$D$101/$F$98*F92)</f>
        <v>2783505.523428997</v>
      </c>
      <c r="I92" s="527">
        <f>ABS((F96/D96*D95)-F95)/D95</f>
        <v>3.3221657788246703E-3</v>
      </c>
    </row>
    <row r="93" spans="1:12" ht="26.25" customHeight="1" x14ac:dyDescent="0.4">
      <c r="A93" s="76" t="s">
        <v>68</v>
      </c>
      <c r="B93" s="77">
        <v>1</v>
      </c>
      <c r="C93" s="142">
        <v>3</v>
      </c>
      <c r="D93" s="276">
        <v>2808110</v>
      </c>
      <c r="E93" s="89">
        <f>IF(ISBLANK(D93),"-",$D$101/$D$98*D93)</f>
        <v>2786741.5445108451</v>
      </c>
      <c r="F93" s="276">
        <v>2506220</v>
      </c>
      <c r="G93" s="90">
        <f>IF(ISBLANK(F93),"-",$D$101/$F$98*F93)</f>
        <v>2758585.7710305122</v>
      </c>
      <c r="I93" s="527"/>
    </row>
    <row r="94" spans="1:12" ht="27" customHeight="1" x14ac:dyDescent="0.4">
      <c r="A94" s="76" t="s">
        <v>69</v>
      </c>
      <c r="B94" s="77">
        <v>1</v>
      </c>
      <c r="C94" s="158">
        <v>4</v>
      </c>
      <c r="D94" s="93"/>
      <c r="E94" s="94" t="str">
        <f>IF(ISBLANK(D94),"-",$D$101/$D$98*D94)</f>
        <v>-</v>
      </c>
      <c r="F94" s="159"/>
      <c r="G94" s="95" t="str">
        <f>IF(ISBLANK(F94),"-",$D$101/$F$98*F94)</f>
        <v>-</v>
      </c>
      <c r="I94" s="96"/>
    </row>
    <row r="95" spans="1:12" ht="27" customHeight="1" x14ac:dyDescent="0.4">
      <c r="A95" s="76" t="s">
        <v>70</v>
      </c>
      <c r="B95" s="77">
        <v>1</v>
      </c>
      <c r="C95" s="160" t="s">
        <v>71</v>
      </c>
      <c r="D95" s="161">
        <f>AVERAGE(D91:D94)</f>
        <v>2803440</v>
      </c>
      <c r="E95" s="99">
        <f>AVERAGE(E91:E94)</f>
        <v>2782107.0811127354</v>
      </c>
      <c r="F95" s="162">
        <f>AVERAGE(F91:F94)</f>
        <v>2518276</v>
      </c>
      <c r="G95" s="163">
        <f>AVERAGE(G91:G94)</f>
        <v>2771855.759321861</v>
      </c>
    </row>
    <row r="96" spans="1:12" ht="26.25" customHeight="1" x14ac:dyDescent="0.4">
      <c r="A96" s="76" t="s">
        <v>72</v>
      </c>
      <c r="B96" s="62">
        <v>1</v>
      </c>
      <c r="C96" s="164" t="s">
        <v>113</v>
      </c>
      <c r="D96" s="165">
        <v>22.46</v>
      </c>
      <c r="E96" s="91"/>
      <c r="F96" s="103">
        <v>20.25</v>
      </c>
    </row>
    <row r="97" spans="1:10" ht="26.25" customHeight="1" x14ac:dyDescent="0.4">
      <c r="A97" s="76" t="s">
        <v>74</v>
      </c>
      <c r="B97" s="62">
        <v>1</v>
      </c>
      <c r="C97" s="166" t="s">
        <v>114</v>
      </c>
      <c r="D97" s="167">
        <f>D96*$B$87</f>
        <v>22.46</v>
      </c>
      <c r="E97" s="106"/>
      <c r="F97" s="105">
        <f>F96*$B$87</f>
        <v>20.25</v>
      </c>
    </row>
    <row r="98" spans="1:10" ht="19.5" customHeight="1" x14ac:dyDescent="0.3">
      <c r="A98" s="76" t="s">
        <v>76</v>
      </c>
      <c r="B98" s="168">
        <f>(B97/B96)*(B95/B94)*(B93/B92)*(B91/B90)*B89</f>
        <v>625</v>
      </c>
      <c r="C98" s="166" t="s">
        <v>115</v>
      </c>
      <c r="D98" s="169">
        <f>D97*$B$83/100</f>
        <v>22.392620000000001</v>
      </c>
      <c r="E98" s="109"/>
      <c r="F98" s="108">
        <f>F97*$B$83/100</f>
        <v>20.189250000000001</v>
      </c>
    </row>
    <row r="99" spans="1:10" ht="19.5" customHeight="1" x14ac:dyDescent="0.3">
      <c r="A99" s="528" t="s">
        <v>78</v>
      </c>
      <c r="B99" s="542"/>
      <c r="C99" s="166" t="s">
        <v>116</v>
      </c>
      <c r="D99" s="170">
        <f>D98/$B$98</f>
        <v>3.5828192000000002E-2</v>
      </c>
      <c r="E99" s="109"/>
      <c r="F99" s="112">
        <f>F98/$B$98</f>
        <v>3.23028E-2</v>
      </c>
      <c r="G99" s="171"/>
      <c r="H99" s="101"/>
    </row>
    <row r="100" spans="1:10" ht="19.5" customHeight="1" x14ac:dyDescent="0.3">
      <c r="A100" s="530"/>
      <c r="B100" s="543"/>
      <c r="C100" s="166" t="s">
        <v>80</v>
      </c>
      <c r="D100" s="172">
        <f>$B$56/$B$116</f>
        <v>3.5555555555555556E-2</v>
      </c>
      <c r="F100" s="117"/>
      <c r="G100" s="173"/>
      <c r="H100" s="101"/>
    </row>
    <row r="101" spans="1:10" ht="18.75" x14ac:dyDescent="0.3">
      <c r="C101" s="166" t="s">
        <v>81</v>
      </c>
      <c r="D101" s="167">
        <f>D100*$B$98</f>
        <v>22.222222222222221</v>
      </c>
      <c r="F101" s="117"/>
      <c r="G101" s="171"/>
      <c r="H101" s="101"/>
    </row>
    <row r="102" spans="1:10" ht="19.5" customHeight="1" x14ac:dyDescent="0.3">
      <c r="C102" s="174" t="s">
        <v>82</v>
      </c>
      <c r="D102" s="175">
        <f>D101/B34</f>
        <v>22.222222222222221</v>
      </c>
      <c r="F102" s="121"/>
      <c r="G102" s="171"/>
      <c r="H102" s="101"/>
      <c r="J102" s="176"/>
    </row>
    <row r="103" spans="1:10" ht="18.75" x14ac:dyDescent="0.3">
      <c r="C103" s="177" t="s">
        <v>117</v>
      </c>
      <c r="D103" s="178">
        <f>AVERAGE(E91:E94,G91:G94)</f>
        <v>2776981.4202172984</v>
      </c>
      <c r="F103" s="121"/>
      <c r="G103" s="179"/>
      <c r="H103" s="101"/>
      <c r="J103" s="180"/>
    </row>
    <row r="104" spans="1:10" ht="18.75" x14ac:dyDescent="0.3">
      <c r="C104" s="144" t="s">
        <v>84</v>
      </c>
      <c r="D104" s="181">
        <f>STDEV(E91:E94,G91:G94)/D103</f>
        <v>6.2829609900289579E-3</v>
      </c>
      <c r="F104" s="121"/>
      <c r="G104" s="171"/>
      <c r="H104" s="101"/>
      <c r="J104" s="180"/>
    </row>
    <row r="105" spans="1:10" ht="19.5" customHeight="1" x14ac:dyDescent="0.3">
      <c r="C105" s="146" t="s">
        <v>20</v>
      </c>
      <c r="D105" s="182">
        <f>COUNT(E91:E94,G91:G94)</f>
        <v>6</v>
      </c>
      <c r="F105" s="121"/>
      <c r="G105" s="171"/>
      <c r="H105" s="101"/>
      <c r="J105" s="180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7" customHeight="1" x14ac:dyDescent="0.4">
      <c r="A107" s="74" t="s">
        <v>118</v>
      </c>
      <c r="B107" s="75">
        <v>900</v>
      </c>
      <c r="C107" s="221" t="s">
        <v>119</v>
      </c>
      <c r="D107" s="221" t="s">
        <v>63</v>
      </c>
      <c r="E107" s="221" t="s">
        <v>120</v>
      </c>
      <c r="F107" s="183" t="s">
        <v>121</v>
      </c>
    </row>
    <row r="108" spans="1:10" ht="26.25" customHeight="1" x14ac:dyDescent="0.4">
      <c r="A108" s="76" t="s">
        <v>122</v>
      </c>
      <c r="B108" s="77">
        <v>4</v>
      </c>
      <c r="C108" s="226">
        <v>1</v>
      </c>
      <c r="D108" s="227">
        <v>2863626</v>
      </c>
      <c r="E108" s="201">
        <f t="shared" ref="E108:E113" si="1">IF(ISBLANK(D108),"-",D108/$D$103*$D$100*$B$116)</f>
        <v>164.99215899116368</v>
      </c>
      <c r="F108" s="228">
        <f t="shared" ref="F108:F113" si="2">IF(ISBLANK(D108), "-", (E108/$B$56)*100)</f>
        <v>103.1200993694773</v>
      </c>
    </row>
    <row r="109" spans="1:10" ht="26.25" customHeight="1" x14ac:dyDescent="0.4">
      <c r="A109" s="76" t="s">
        <v>95</v>
      </c>
      <c r="B109" s="77">
        <v>20</v>
      </c>
      <c r="C109" s="222">
        <v>2</v>
      </c>
      <c r="D109" s="224">
        <v>2856341</v>
      </c>
      <c r="E109" s="202">
        <f t="shared" si="1"/>
        <v>164.5724226574907</v>
      </c>
      <c r="F109" s="229">
        <f t="shared" si="2"/>
        <v>102.85776416093168</v>
      </c>
    </row>
    <row r="110" spans="1:10" ht="26.25" customHeight="1" x14ac:dyDescent="0.4">
      <c r="A110" s="76" t="s">
        <v>96</v>
      </c>
      <c r="B110" s="77">
        <v>1</v>
      </c>
      <c r="C110" s="222">
        <v>3</v>
      </c>
      <c r="D110" s="224">
        <v>2816619</v>
      </c>
      <c r="E110" s="202">
        <f t="shared" si="1"/>
        <v>162.28377932926034</v>
      </c>
      <c r="F110" s="229">
        <f t="shared" si="2"/>
        <v>101.4273620807877</v>
      </c>
    </row>
    <row r="111" spans="1:10" ht="26.25" customHeight="1" x14ac:dyDescent="0.4">
      <c r="A111" s="76" t="s">
        <v>97</v>
      </c>
      <c r="B111" s="77">
        <v>1</v>
      </c>
      <c r="C111" s="222">
        <v>4</v>
      </c>
      <c r="D111" s="224">
        <v>2816023</v>
      </c>
      <c r="E111" s="202">
        <f t="shared" si="1"/>
        <v>162.24943988452881</v>
      </c>
      <c r="F111" s="229">
        <f t="shared" si="2"/>
        <v>101.40589992783052</v>
      </c>
    </row>
    <row r="112" spans="1:10" ht="26.25" customHeight="1" x14ac:dyDescent="0.4">
      <c r="A112" s="76" t="s">
        <v>98</v>
      </c>
      <c r="B112" s="77">
        <v>1</v>
      </c>
      <c r="C112" s="222">
        <v>5</v>
      </c>
      <c r="D112" s="224">
        <v>2841036</v>
      </c>
      <c r="E112" s="202">
        <f t="shared" si="1"/>
        <v>163.69060184941037</v>
      </c>
      <c r="F112" s="229">
        <f t="shared" si="2"/>
        <v>102.30662615588149</v>
      </c>
    </row>
    <row r="113" spans="1:10" ht="27" customHeight="1" x14ac:dyDescent="0.4">
      <c r="A113" s="76" t="s">
        <v>100</v>
      </c>
      <c r="B113" s="77">
        <v>1</v>
      </c>
      <c r="C113" s="223">
        <v>6</v>
      </c>
      <c r="D113" s="225">
        <v>2795957</v>
      </c>
      <c r="E113" s="203">
        <f t="shared" si="1"/>
        <v>161.09330683422243</v>
      </c>
      <c r="F113" s="230">
        <f t="shared" si="2"/>
        <v>100.68331677138902</v>
      </c>
    </row>
    <row r="114" spans="1:10" ht="27" customHeight="1" x14ac:dyDescent="0.4">
      <c r="A114" s="76" t="s">
        <v>101</v>
      </c>
      <c r="B114" s="77">
        <v>1</v>
      </c>
      <c r="C114" s="184"/>
      <c r="D114" s="142"/>
      <c r="E114" s="50"/>
      <c r="F114" s="231"/>
    </row>
    <row r="115" spans="1:10" ht="26.25" customHeight="1" x14ac:dyDescent="0.4">
      <c r="A115" s="76" t="s">
        <v>102</v>
      </c>
      <c r="B115" s="77">
        <v>1</v>
      </c>
      <c r="C115" s="184"/>
      <c r="D115" s="208" t="s">
        <v>71</v>
      </c>
      <c r="E115" s="210">
        <f>AVERAGE(E108:E113)</f>
        <v>163.14695159101271</v>
      </c>
      <c r="F115" s="232">
        <f>AVERAGE(F108:F113)</f>
        <v>101.96684474438295</v>
      </c>
    </row>
    <row r="116" spans="1:10" ht="27" customHeight="1" x14ac:dyDescent="0.4">
      <c r="A116" s="76" t="s">
        <v>103</v>
      </c>
      <c r="B116" s="107">
        <f>(B115/B114)*(B113/B112)*(B111/B110)*(B109/B108)*B107</f>
        <v>4500</v>
      </c>
      <c r="C116" s="185"/>
      <c r="D116" s="209" t="s">
        <v>84</v>
      </c>
      <c r="E116" s="207">
        <f>STDEV(E108:E113)/E115</f>
        <v>9.295908278241163E-3</v>
      </c>
      <c r="F116" s="186">
        <f>STDEV(F108:F113)/F115</f>
        <v>9.295908278241163E-3</v>
      </c>
      <c r="I116" s="50"/>
    </row>
    <row r="117" spans="1:10" ht="27" customHeight="1" x14ac:dyDescent="0.4">
      <c r="A117" s="528" t="s">
        <v>78</v>
      </c>
      <c r="B117" s="529"/>
      <c r="C117" s="187"/>
      <c r="D117" s="146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530"/>
      <c r="B118" s="531"/>
      <c r="C118" s="50"/>
      <c r="D118" s="211"/>
      <c r="E118" s="508" t="s">
        <v>123</v>
      </c>
      <c r="F118" s="509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124</v>
      </c>
      <c r="E119" s="214">
        <f>MIN(E108:E113)</f>
        <v>161.09330683422243</v>
      </c>
      <c r="F119" s="233">
        <f>MIN(F108:F113)</f>
        <v>100.68331677138902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8" t="s">
        <v>125</v>
      </c>
      <c r="E120" s="215">
        <f>MAX(E108:E113)</f>
        <v>164.99215899116368</v>
      </c>
      <c r="F120" s="234">
        <f>MAX(F108:F113)</f>
        <v>103.1200993694773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65">
      <c r="A124" s="60" t="s">
        <v>106</v>
      </c>
      <c r="B124" s="148" t="s">
        <v>126</v>
      </c>
      <c r="C124" s="540" t="str">
        <f>B26</f>
        <v>Trimethoprim</v>
      </c>
      <c r="D124" s="540"/>
      <c r="E124" s="149" t="s">
        <v>127</v>
      </c>
      <c r="F124" s="149"/>
      <c r="G124" s="235">
        <f>F115</f>
        <v>101.96684474438295</v>
      </c>
      <c r="H124" s="50"/>
      <c r="I124" s="50"/>
    </row>
    <row r="125" spans="1:10" ht="45.75" customHeight="1" x14ac:dyDescent="0.65">
      <c r="A125" s="60"/>
      <c r="B125" s="148" t="s">
        <v>128</v>
      </c>
      <c r="C125" s="61" t="s">
        <v>129</v>
      </c>
      <c r="D125" s="235">
        <f>MIN(F108:F113)</f>
        <v>100.68331677138902</v>
      </c>
      <c r="E125" s="160" t="s">
        <v>130</v>
      </c>
      <c r="F125" s="235">
        <f>MAX(F108:F113)</f>
        <v>103.1200993694773</v>
      </c>
      <c r="G125" s="150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541" t="s">
        <v>26</v>
      </c>
      <c r="C127" s="541"/>
      <c r="E127" s="155" t="s">
        <v>27</v>
      </c>
      <c r="F127" s="190"/>
      <c r="G127" s="541" t="s">
        <v>28</v>
      </c>
      <c r="H127" s="541"/>
    </row>
    <row r="128" spans="1:10" ht="69.95" customHeight="1" x14ac:dyDescent="0.3">
      <c r="A128" s="191" t="s">
        <v>29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30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.75" x14ac:dyDescent="0.3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.75" x14ac:dyDescent="0.3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.75" x14ac:dyDescent="0.3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.75" x14ac:dyDescent="0.3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.75" x14ac:dyDescent="0.3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.75" x14ac:dyDescent="0.3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.75" x14ac:dyDescent="0.3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.75" x14ac:dyDescent="0.3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60" zoomScaleNormal="40" zoomScalePageLayoutView="60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38" t="s">
        <v>45</v>
      </c>
      <c r="B1" s="538"/>
      <c r="C1" s="538"/>
      <c r="D1" s="538"/>
      <c r="E1" s="538"/>
      <c r="F1" s="538"/>
      <c r="G1" s="538"/>
      <c r="H1" s="538"/>
      <c r="I1" s="538"/>
    </row>
    <row r="2" spans="1:9" ht="18.75" customHeight="1" x14ac:dyDescent="0.25">
      <c r="A2" s="538"/>
      <c r="B2" s="538"/>
      <c r="C2" s="538"/>
      <c r="D2" s="538"/>
      <c r="E2" s="538"/>
      <c r="F2" s="538"/>
      <c r="G2" s="538"/>
      <c r="H2" s="538"/>
      <c r="I2" s="538"/>
    </row>
    <row r="3" spans="1:9" ht="18.75" customHeight="1" x14ac:dyDescent="0.25">
      <c r="A3" s="538"/>
      <c r="B3" s="538"/>
      <c r="C3" s="538"/>
      <c r="D3" s="538"/>
      <c r="E3" s="538"/>
      <c r="F3" s="538"/>
      <c r="G3" s="538"/>
      <c r="H3" s="538"/>
      <c r="I3" s="538"/>
    </row>
    <row r="4" spans="1:9" ht="18.75" customHeight="1" x14ac:dyDescent="0.25">
      <c r="A4" s="538"/>
      <c r="B4" s="538"/>
      <c r="C4" s="538"/>
      <c r="D4" s="538"/>
      <c r="E4" s="538"/>
      <c r="F4" s="538"/>
      <c r="G4" s="538"/>
      <c r="H4" s="538"/>
      <c r="I4" s="538"/>
    </row>
    <row r="5" spans="1:9" ht="18.75" customHeight="1" x14ac:dyDescent="0.25">
      <c r="A5" s="538"/>
      <c r="B5" s="538"/>
      <c r="C5" s="538"/>
      <c r="D5" s="538"/>
      <c r="E5" s="538"/>
      <c r="F5" s="538"/>
      <c r="G5" s="538"/>
      <c r="H5" s="538"/>
      <c r="I5" s="538"/>
    </row>
    <row r="6" spans="1:9" ht="18.75" customHeight="1" x14ac:dyDescent="0.25">
      <c r="A6" s="538"/>
      <c r="B6" s="538"/>
      <c r="C6" s="538"/>
      <c r="D6" s="538"/>
      <c r="E6" s="538"/>
      <c r="F6" s="538"/>
      <c r="G6" s="538"/>
      <c r="H6" s="538"/>
      <c r="I6" s="538"/>
    </row>
    <row r="7" spans="1:9" ht="18.75" customHeight="1" x14ac:dyDescent="0.25">
      <c r="A7" s="538"/>
      <c r="B7" s="538"/>
      <c r="C7" s="538"/>
      <c r="D7" s="538"/>
      <c r="E7" s="538"/>
      <c r="F7" s="538"/>
      <c r="G7" s="538"/>
      <c r="H7" s="538"/>
      <c r="I7" s="538"/>
    </row>
    <row r="8" spans="1:9" x14ac:dyDescent="0.25">
      <c r="A8" s="539" t="s">
        <v>46</v>
      </c>
      <c r="B8" s="539"/>
      <c r="C8" s="539"/>
      <c r="D8" s="539"/>
      <c r="E8" s="539"/>
      <c r="F8" s="539"/>
      <c r="G8" s="539"/>
      <c r="H8" s="539"/>
      <c r="I8" s="539"/>
    </row>
    <row r="9" spans="1:9" x14ac:dyDescent="0.25">
      <c r="A9" s="539"/>
      <c r="B9" s="539"/>
      <c r="C9" s="539"/>
      <c r="D9" s="539"/>
      <c r="E9" s="539"/>
      <c r="F9" s="539"/>
      <c r="G9" s="539"/>
      <c r="H9" s="539"/>
      <c r="I9" s="539"/>
    </row>
    <row r="10" spans="1:9" x14ac:dyDescent="0.25">
      <c r="A10" s="539"/>
      <c r="B10" s="539"/>
      <c r="C10" s="539"/>
      <c r="D10" s="539"/>
      <c r="E10" s="539"/>
      <c r="F10" s="539"/>
      <c r="G10" s="539"/>
      <c r="H10" s="539"/>
      <c r="I10" s="539"/>
    </row>
    <row r="11" spans="1:9" x14ac:dyDescent="0.25">
      <c r="A11" s="539"/>
      <c r="B11" s="539"/>
      <c r="C11" s="539"/>
      <c r="D11" s="539"/>
      <c r="E11" s="539"/>
      <c r="F11" s="539"/>
      <c r="G11" s="539"/>
      <c r="H11" s="539"/>
      <c r="I11" s="539"/>
    </row>
    <row r="12" spans="1:9" x14ac:dyDescent="0.25">
      <c r="A12" s="539"/>
      <c r="B12" s="539"/>
      <c r="C12" s="539"/>
      <c r="D12" s="539"/>
      <c r="E12" s="539"/>
      <c r="F12" s="539"/>
      <c r="G12" s="539"/>
      <c r="H12" s="539"/>
      <c r="I12" s="539"/>
    </row>
    <row r="13" spans="1:9" x14ac:dyDescent="0.25">
      <c r="A13" s="539"/>
      <c r="B13" s="539"/>
      <c r="C13" s="539"/>
      <c r="D13" s="539"/>
      <c r="E13" s="539"/>
      <c r="F13" s="539"/>
      <c r="G13" s="539"/>
      <c r="H13" s="539"/>
      <c r="I13" s="539"/>
    </row>
    <row r="14" spans="1:9" x14ac:dyDescent="0.25">
      <c r="A14" s="539"/>
      <c r="B14" s="539"/>
      <c r="C14" s="539"/>
      <c r="D14" s="539"/>
      <c r="E14" s="539"/>
      <c r="F14" s="539"/>
      <c r="G14" s="539"/>
      <c r="H14" s="539"/>
      <c r="I14" s="539"/>
    </row>
    <row r="15" spans="1:9" ht="19.5" customHeight="1" x14ac:dyDescent="0.3">
      <c r="A15" s="237"/>
    </row>
    <row r="16" spans="1:9" ht="19.5" customHeight="1" x14ac:dyDescent="0.3">
      <c r="A16" s="511" t="s">
        <v>31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25">
      <c r="A17" s="514" t="s">
        <v>47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4">
      <c r="A18" s="239" t="s">
        <v>33</v>
      </c>
      <c r="B18" s="510" t="s">
        <v>5</v>
      </c>
      <c r="C18" s="510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15" t="s">
        <v>133</v>
      </c>
      <c r="C20" s="515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15" t="s">
        <v>11</v>
      </c>
      <c r="C21" s="515"/>
      <c r="D21" s="515"/>
      <c r="E21" s="515"/>
      <c r="F21" s="515"/>
      <c r="G21" s="515"/>
      <c r="H21" s="515"/>
      <c r="I21" s="243"/>
    </row>
    <row r="22" spans="1:14" ht="26.25" customHeight="1" x14ac:dyDescent="0.4">
      <c r="A22" s="239" t="s">
        <v>37</v>
      </c>
      <c r="B22" s="244" t="s">
        <v>12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/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10" t="s">
        <v>134</v>
      </c>
      <c r="C26" s="510"/>
    </row>
    <row r="27" spans="1:14" ht="26.25" customHeight="1" x14ac:dyDescent="0.4">
      <c r="A27" s="248" t="s">
        <v>48</v>
      </c>
      <c r="B27" s="516" t="s">
        <v>135</v>
      </c>
      <c r="C27" s="516"/>
    </row>
    <row r="28" spans="1:14" ht="27" customHeight="1" x14ac:dyDescent="0.4">
      <c r="A28" s="248" t="s">
        <v>6</v>
      </c>
      <c r="B28" s="249">
        <v>99.02</v>
      </c>
    </row>
    <row r="29" spans="1:14" s="3" customFormat="1" ht="27" customHeight="1" x14ac:dyDescent="0.4">
      <c r="A29" s="248" t="s">
        <v>49</v>
      </c>
      <c r="B29" s="250"/>
      <c r="C29" s="517" t="s">
        <v>50</v>
      </c>
      <c r="D29" s="518"/>
      <c r="E29" s="518"/>
      <c r="F29" s="518"/>
      <c r="G29" s="519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99.02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20" t="s">
        <v>53</v>
      </c>
      <c r="D31" s="521"/>
      <c r="E31" s="521"/>
      <c r="F31" s="521"/>
      <c r="G31" s="521"/>
      <c r="H31" s="522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20" t="s">
        <v>55</v>
      </c>
      <c r="D32" s="521"/>
      <c r="E32" s="521"/>
      <c r="F32" s="521"/>
      <c r="G32" s="521"/>
      <c r="H32" s="522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100</v>
      </c>
      <c r="C36" s="238"/>
      <c r="D36" s="523" t="s">
        <v>59</v>
      </c>
      <c r="E36" s="524"/>
      <c r="F36" s="523" t="s">
        <v>60</v>
      </c>
      <c r="G36" s="525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1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</v>
      </c>
      <c r="C38" s="270">
        <v>1</v>
      </c>
      <c r="D38" s="271">
        <v>32670653</v>
      </c>
      <c r="E38" s="272">
        <f>IF(ISBLANK(D38),"-",$D$48/$D$45*D38)</f>
        <v>34346382.972124875</v>
      </c>
      <c r="F38" s="271">
        <v>35026301</v>
      </c>
      <c r="G38" s="273">
        <f>IF(ISBLANK(F38),"-",$D$48/$F$45*F38)</f>
        <v>34785943.177373044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33172680</v>
      </c>
      <c r="E39" s="277">
        <f>IF(ISBLANK(D39),"-",$D$48/$D$45*D39)</f>
        <v>34874159.738764554</v>
      </c>
      <c r="F39" s="276">
        <v>35089865</v>
      </c>
      <c r="G39" s="278">
        <f>IF(ISBLANK(F39),"-",$D$48/$F$45*F39)</f>
        <v>34849070.987875402</v>
      </c>
      <c r="I39" s="527">
        <f>ABS((F43/D43*D42)-F42)/D42</f>
        <v>2.9986175717153295E-3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32928327</v>
      </c>
      <c r="E40" s="277">
        <f>IF(ISBLANK(D40),"-",$D$48/$D$45*D40)</f>
        <v>34617273.483127497</v>
      </c>
      <c r="F40" s="276">
        <v>34735309</v>
      </c>
      <c r="G40" s="278">
        <f>IF(ISBLANK(F40),"-",$D$48/$F$45*F40)</f>
        <v>34496948.025499307</v>
      </c>
      <c r="I40" s="527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32923886.666666668</v>
      </c>
      <c r="E42" s="287">
        <f>AVERAGE(E38:E41)</f>
        <v>34612605.398005642</v>
      </c>
      <c r="F42" s="286">
        <f>AVERAGE(F38:F41)</f>
        <v>34950491.666666664</v>
      </c>
      <c r="G42" s="288">
        <f>AVERAGE(G38:G41)</f>
        <v>34710654.063582592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15.37</v>
      </c>
      <c r="E43" s="279"/>
      <c r="F43" s="291">
        <v>16.27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15.37</v>
      </c>
      <c r="E44" s="294"/>
      <c r="F44" s="293">
        <f>F43*$B$34</f>
        <v>16.27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100</v>
      </c>
      <c r="C45" s="292" t="s">
        <v>77</v>
      </c>
      <c r="D45" s="296">
        <f>D44*$B$30/100</f>
        <v>15.219373999999998</v>
      </c>
      <c r="E45" s="297"/>
      <c r="F45" s="296">
        <f>F44*$B$30/100</f>
        <v>16.110554</v>
      </c>
      <c r="H45" s="289"/>
    </row>
    <row r="46" spans="1:14" ht="19.5" customHeight="1" x14ac:dyDescent="0.3">
      <c r="A46" s="528" t="s">
        <v>78</v>
      </c>
      <c r="B46" s="529"/>
      <c r="C46" s="292" t="s">
        <v>79</v>
      </c>
      <c r="D46" s="298">
        <f>D45/$B$45</f>
        <v>0.15219373999999999</v>
      </c>
      <c r="E46" s="299"/>
      <c r="F46" s="300">
        <f>F45/$B$45</f>
        <v>0.16110553999999999</v>
      </c>
      <c r="H46" s="289"/>
    </row>
    <row r="47" spans="1:14" ht="27" customHeight="1" x14ac:dyDescent="0.4">
      <c r="A47" s="530"/>
      <c r="B47" s="531"/>
      <c r="C47" s="301" t="s">
        <v>80</v>
      </c>
      <c r="D47" s="302">
        <v>0.16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16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16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34661629.730794117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6.1095349484491922E-3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Sulfamethoxazole BP 800 mg and Trimethoprim BP 160 mg.</v>
      </c>
    </row>
    <row r="56" spans="1:12" ht="26.25" customHeight="1" x14ac:dyDescent="0.4">
      <c r="A56" s="316" t="s">
        <v>87</v>
      </c>
      <c r="B56" s="317">
        <v>800</v>
      </c>
      <c r="C56" s="238" t="str">
        <f>B20</f>
        <v xml:space="preserve">Sulfamethoxazole </v>
      </c>
      <c r="H56" s="318"/>
    </row>
    <row r="57" spans="1:12" ht="18.75" x14ac:dyDescent="0.3">
      <c r="A57" s="315" t="s">
        <v>88</v>
      </c>
      <c r="B57" s="386">
        <f>Uniformity!C46</f>
        <v>1081.6950000000002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2</v>
      </c>
      <c r="C60" s="532" t="s">
        <v>94</v>
      </c>
      <c r="D60" s="535">
        <v>1094.17</v>
      </c>
      <c r="E60" s="321">
        <v>1</v>
      </c>
      <c r="F60" s="322">
        <v>33123358</v>
      </c>
      <c r="G60" s="387">
        <f>IF(ISBLANK(F60),"-",(F60/$D$50*$D$47*$B$68)*($B$57/$D$60))</f>
        <v>755.77998414041929</v>
      </c>
      <c r="H60" s="405">
        <f t="shared" ref="H60:H71" si="0">IF(ISBLANK(F60),"-",(G60/$B$56)*100)</f>
        <v>94.472498017552411</v>
      </c>
      <c r="L60" s="251"/>
    </row>
    <row r="61" spans="1:12" s="3" customFormat="1" ht="26.25" customHeight="1" x14ac:dyDescent="0.4">
      <c r="A61" s="263" t="s">
        <v>95</v>
      </c>
      <c r="B61" s="264">
        <v>100</v>
      </c>
      <c r="C61" s="533"/>
      <c r="D61" s="536"/>
      <c r="E61" s="323">
        <v>2</v>
      </c>
      <c r="F61" s="276">
        <v>33534576</v>
      </c>
      <c r="G61" s="388">
        <f>IF(ISBLANK(F61),"-",(F61/$D$50*$D$47*$B$68)*($B$57/$D$60))</f>
        <v>765.16279893589558</v>
      </c>
      <c r="H61" s="406">
        <f t="shared" si="0"/>
        <v>95.645349866986948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33"/>
      <c r="D62" s="536"/>
      <c r="E62" s="323">
        <v>3</v>
      </c>
      <c r="F62" s="324">
        <v>33307465</v>
      </c>
      <c r="G62" s="388">
        <f>IF(ISBLANK(F62),"-",(F62/$D$50*$D$47*$B$68)*($B$57/$D$60))</f>
        <v>759.98077759681155</v>
      </c>
      <c r="H62" s="406">
        <f t="shared" si="0"/>
        <v>94.997597199601444</v>
      </c>
      <c r="L62" s="251"/>
    </row>
    <row r="63" spans="1:12" ht="27" customHeight="1" x14ac:dyDescent="0.4">
      <c r="A63" s="263" t="s">
        <v>97</v>
      </c>
      <c r="B63" s="264">
        <v>1</v>
      </c>
      <c r="C63" s="534"/>
      <c r="D63" s="537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32" t="s">
        <v>99</v>
      </c>
      <c r="D64" s="535">
        <v>1075.25</v>
      </c>
      <c r="E64" s="321">
        <v>1</v>
      </c>
      <c r="F64" s="322">
        <v>33858962</v>
      </c>
      <c r="G64" s="387">
        <f>IF(ISBLANK(F64),"-",(F64/$D$50*$D$47*$B$68)*($B$57/$D$64))</f>
        <v>786.15832793878076</v>
      </c>
      <c r="H64" s="405">
        <f t="shared" si="0"/>
        <v>98.269790992347595</v>
      </c>
    </row>
    <row r="65" spans="1:8" ht="26.25" customHeight="1" x14ac:dyDescent="0.4">
      <c r="A65" s="263" t="s">
        <v>100</v>
      </c>
      <c r="B65" s="264">
        <v>1</v>
      </c>
      <c r="C65" s="533"/>
      <c r="D65" s="536"/>
      <c r="E65" s="323">
        <v>2</v>
      </c>
      <c r="F65" s="276">
        <v>33411577</v>
      </c>
      <c r="G65" s="388">
        <f>IF(ISBLANK(F65),"-",(F65/$D$50*$D$47*$B$68)*($B$57/$D$64))</f>
        <v>775.77066621587005</v>
      </c>
      <c r="H65" s="406">
        <f t="shared" si="0"/>
        <v>96.971333276983756</v>
      </c>
    </row>
    <row r="66" spans="1:8" ht="26.25" customHeight="1" x14ac:dyDescent="0.4">
      <c r="A66" s="263" t="s">
        <v>101</v>
      </c>
      <c r="B66" s="264">
        <v>1</v>
      </c>
      <c r="C66" s="533"/>
      <c r="D66" s="536"/>
      <c r="E66" s="323">
        <v>3</v>
      </c>
      <c r="F66" s="276">
        <v>33460592</v>
      </c>
      <c r="G66" s="388">
        <f>IF(ISBLANK(F66),"-",(F66/$D$50*$D$47*$B$68)*($B$57/$D$64))</f>
        <v>776.90872681099154</v>
      </c>
      <c r="H66" s="406">
        <f t="shared" si="0"/>
        <v>97.113590851373942</v>
      </c>
    </row>
    <row r="67" spans="1:8" ht="27" customHeight="1" x14ac:dyDescent="0.4">
      <c r="A67" s="263" t="s">
        <v>102</v>
      </c>
      <c r="B67" s="264">
        <v>1</v>
      </c>
      <c r="C67" s="534"/>
      <c r="D67" s="537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5000</v>
      </c>
      <c r="C68" s="532" t="s">
        <v>104</v>
      </c>
      <c r="D68" s="535">
        <v>1084.03</v>
      </c>
      <c r="E68" s="321">
        <v>1</v>
      </c>
      <c r="F68" s="322">
        <v>33373077</v>
      </c>
      <c r="G68" s="387">
        <f>IF(ISBLANK(F68),"-",(F68/$D$50*$D$47*$B$68)*($B$57/$D$68))</f>
        <v>768.60070734975113</v>
      </c>
      <c r="H68" s="406">
        <f t="shared" si="0"/>
        <v>96.075088418718892</v>
      </c>
    </row>
    <row r="69" spans="1:8" ht="27" customHeight="1" x14ac:dyDescent="0.4">
      <c r="A69" s="311" t="s">
        <v>105</v>
      </c>
      <c r="B69" s="328">
        <f>(D47*B68)/B56*B57</f>
        <v>1081.6950000000002</v>
      </c>
      <c r="C69" s="533"/>
      <c r="D69" s="536"/>
      <c r="E69" s="323">
        <v>2</v>
      </c>
      <c r="F69" s="276">
        <v>33613449</v>
      </c>
      <c r="G69" s="388">
        <f>IF(ISBLANK(F69),"-",(F69/$D$50*$D$47*$B$68)*($B$57/$D$68))</f>
        <v>774.13660951505267</v>
      </c>
      <c r="H69" s="406">
        <f t="shared" si="0"/>
        <v>96.767076189381584</v>
      </c>
    </row>
    <row r="70" spans="1:8" ht="26.25" customHeight="1" x14ac:dyDescent="0.4">
      <c r="A70" s="545" t="s">
        <v>78</v>
      </c>
      <c r="B70" s="546"/>
      <c r="C70" s="533"/>
      <c r="D70" s="536"/>
      <c r="E70" s="323">
        <v>3</v>
      </c>
      <c r="F70" s="276">
        <v>33659430</v>
      </c>
      <c r="G70" s="388">
        <f>IF(ISBLANK(F70),"-",(F70/$D$50*$D$47*$B$68)*($B$57/$D$68))</f>
        <v>775.19557777035163</v>
      </c>
      <c r="H70" s="406">
        <f t="shared" si="0"/>
        <v>96.899447221293954</v>
      </c>
    </row>
    <row r="71" spans="1:8" ht="27" customHeight="1" x14ac:dyDescent="0.4">
      <c r="A71" s="547"/>
      <c r="B71" s="548"/>
      <c r="C71" s="544"/>
      <c r="D71" s="537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770.8549084748804</v>
      </c>
      <c r="H72" s="408">
        <f>AVERAGE(H60:H71)</f>
        <v>96.35686355936005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1.220046724935852E-2</v>
      </c>
      <c r="H73" s="392">
        <f>STDEV(H60:H71)/H72</f>
        <v>1.220046724935852E-2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40" t="str">
        <f>B26</f>
        <v>Sulfamethoxazole</v>
      </c>
      <c r="D76" s="540"/>
      <c r="E76" s="337" t="s">
        <v>108</v>
      </c>
      <c r="F76" s="337"/>
      <c r="G76" s="424">
        <f>H72</f>
        <v>96.35686355936005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26" t="str">
        <f>B26</f>
        <v>Sulfamethoxazole</v>
      </c>
      <c r="C79" s="526"/>
    </row>
    <row r="80" spans="1:8" ht="26.25" customHeight="1" x14ac:dyDescent="0.4">
      <c r="A80" s="248" t="s">
        <v>48</v>
      </c>
      <c r="B80" s="526" t="str">
        <f>B27</f>
        <v>S12-6</v>
      </c>
      <c r="C80" s="526"/>
    </row>
    <row r="81" spans="1:12" ht="27" customHeight="1" x14ac:dyDescent="0.4">
      <c r="A81" s="248" t="s">
        <v>6</v>
      </c>
      <c r="B81" s="340">
        <f>B28</f>
        <v>99.02</v>
      </c>
    </row>
    <row r="82" spans="1:12" s="3" customFormat="1" ht="27" customHeight="1" x14ac:dyDescent="0.4">
      <c r="A82" s="248" t="s">
        <v>49</v>
      </c>
      <c r="B82" s="250">
        <v>0</v>
      </c>
      <c r="C82" s="517" t="s">
        <v>50</v>
      </c>
      <c r="D82" s="518"/>
      <c r="E82" s="518"/>
      <c r="F82" s="518"/>
      <c r="G82" s="519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99.02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20" t="s">
        <v>111</v>
      </c>
      <c r="D84" s="521"/>
      <c r="E84" s="521"/>
      <c r="F84" s="521"/>
      <c r="G84" s="521"/>
      <c r="H84" s="522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20" t="s">
        <v>112</v>
      </c>
      <c r="D85" s="521"/>
      <c r="E85" s="521"/>
      <c r="F85" s="521"/>
      <c r="G85" s="521"/>
      <c r="H85" s="522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100</v>
      </c>
      <c r="D89" s="341" t="s">
        <v>59</v>
      </c>
      <c r="E89" s="342"/>
      <c r="F89" s="523" t="s">
        <v>60</v>
      </c>
      <c r="G89" s="525"/>
    </row>
    <row r="90" spans="1:12" ht="27" customHeight="1" x14ac:dyDescent="0.4">
      <c r="A90" s="263" t="s">
        <v>61</v>
      </c>
      <c r="B90" s="264">
        <v>1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</v>
      </c>
      <c r="C91" s="345">
        <v>1</v>
      </c>
      <c r="D91" s="271">
        <v>32670653</v>
      </c>
      <c r="E91" s="272">
        <f>IF(ISBLANK(D91),"-",$D$101/$D$98*D91)</f>
        <v>38162647.746805422</v>
      </c>
      <c r="F91" s="271">
        <v>35026301</v>
      </c>
      <c r="G91" s="273">
        <f>IF(ISBLANK(F91),"-",$D$101/$F$98*F91)</f>
        <v>38651047.97485894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33172680</v>
      </c>
      <c r="E92" s="277">
        <f>IF(ISBLANK(D92),"-",$D$101/$D$98*D92)</f>
        <v>38749066.376405068</v>
      </c>
      <c r="F92" s="276">
        <v>35089865</v>
      </c>
      <c r="G92" s="278">
        <f>IF(ISBLANK(F92),"-",$D$101/$F$98*F92)</f>
        <v>38721189.986528225</v>
      </c>
      <c r="I92" s="527">
        <f>ABS((F96/D96*D95)-F95)/D95</f>
        <v>2.9986175717153295E-3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32928327</v>
      </c>
      <c r="E93" s="277">
        <f>IF(ISBLANK(D93),"-",$D$101/$D$98*D93)</f>
        <v>38463637.203474998</v>
      </c>
      <c r="F93" s="276">
        <v>34735309</v>
      </c>
      <c r="G93" s="278">
        <f>IF(ISBLANK(F93),"-",$D$101/$F$98*F93)</f>
        <v>38329942.250554793</v>
      </c>
      <c r="I93" s="527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32923886.666666668</v>
      </c>
      <c r="E95" s="287">
        <f>AVERAGE(E91:E94)</f>
        <v>38458450.442228496</v>
      </c>
      <c r="F95" s="350">
        <f>AVERAGE(F91:F94)</f>
        <v>34950491.666666664</v>
      </c>
      <c r="G95" s="351">
        <f>AVERAGE(G91:G94)</f>
        <v>38567393.40398065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15.37</v>
      </c>
      <c r="E96" s="279"/>
      <c r="F96" s="291">
        <v>16.27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15.37</v>
      </c>
      <c r="E97" s="294"/>
      <c r="F97" s="293">
        <f>F96*$B$87</f>
        <v>16.27</v>
      </c>
    </row>
    <row r="98" spans="1:10" ht="19.5" customHeight="1" x14ac:dyDescent="0.3">
      <c r="A98" s="263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15.219373999999998</v>
      </c>
      <c r="E98" s="297"/>
      <c r="F98" s="296">
        <f>F97*$B$83/100</f>
        <v>16.110554</v>
      </c>
    </row>
    <row r="99" spans="1:10" ht="19.5" customHeight="1" x14ac:dyDescent="0.3">
      <c r="A99" s="528" t="s">
        <v>78</v>
      </c>
      <c r="B99" s="542"/>
      <c r="C99" s="354" t="s">
        <v>116</v>
      </c>
      <c r="D99" s="358">
        <f>D98/$B$98</f>
        <v>0.15219373999999999</v>
      </c>
      <c r="E99" s="297"/>
      <c r="F99" s="300">
        <f>F98/$B$98</f>
        <v>0.16110553999999999</v>
      </c>
      <c r="G99" s="359"/>
      <c r="H99" s="289"/>
    </row>
    <row r="100" spans="1:10" ht="19.5" customHeight="1" x14ac:dyDescent="0.3">
      <c r="A100" s="530"/>
      <c r="B100" s="543"/>
      <c r="C100" s="354" t="s">
        <v>80</v>
      </c>
      <c r="D100" s="360">
        <f>$B$56/$B$116</f>
        <v>0.17777777777777778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17.777777777777779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17.777777777777779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38512921.923104577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6.1095349484491628E-3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4</v>
      </c>
      <c r="C108" s="414">
        <v>1</v>
      </c>
      <c r="D108" s="415">
        <v>38708490</v>
      </c>
      <c r="E108" s="389">
        <f t="shared" ref="E108:E113" si="1">IF(ISBLANK(D108),"-",D108/$D$103*$D$100*$B$116)</f>
        <v>804.06238876989698</v>
      </c>
      <c r="F108" s="416">
        <f t="shared" ref="F108:F113" si="2">IF(ISBLANK(D108), "-", (E108/$B$56)*100)</f>
        <v>100.50779859623714</v>
      </c>
    </row>
    <row r="109" spans="1:10" ht="26.25" customHeight="1" x14ac:dyDescent="0.4">
      <c r="A109" s="263" t="s">
        <v>95</v>
      </c>
      <c r="B109" s="264">
        <v>20</v>
      </c>
      <c r="C109" s="410">
        <v>2</v>
      </c>
      <c r="D109" s="412">
        <v>38572076</v>
      </c>
      <c r="E109" s="390">
        <f t="shared" si="1"/>
        <v>801.22876320864009</v>
      </c>
      <c r="F109" s="417">
        <f t="shared" si="2"/>
        <v>100.15359540108003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38076443</v>
      </c>
      <c r="E110" s="390">
        <f t="shared" si="1"/>
        <v>790.93335117026845</v>
      </c>
      <c r="F110" s="417">
        <f t="shared" si="2"/>
        <v>98.866668896283556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38198354</v>
      </c>
      <c r="E111" s="390">
        <f t="shared" si="1"/>
        <v>793.46571680574857</v>
      </c>
      <c r="F111" s="417">
        <f t="shared" si="2"/>
        <v>99.183214600718571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38513124</v>
      </c>
      <c r="E112" s="390">
        <f t="shared" si="1"/>
        <v>800.00419759156841</v>
      </c>
      <c r="F112" s="417">
        <f t="shared" si="2"/>
        <v>100.00052469894605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37869409</v>
      </c>
      <c r="E113" s="391">
        <f t="shared" si="1"/>
        <v>786.63278939179065</v>
      </c>
      <c r="F113" s="418">
        <f t="shared" si="2"/>
        <v>98.329098673973832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796.05453448965216</v>
      </c>
      <c r="F115" s="420">
        <f>AVERAGE(F108:F113)</f>
        <v>99.506816811206519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8.4864523983813004E-3</v>
      </c>
      <c r="F116" s="374">
        <f>STDEV(F108:F113)/F115</f>
        <v>8.4864523983813559E-3</v>
      </c>
      <c r="I116" s="237"/>
    </row>
    <row r="117" spans="1:10" ht="27" customHeight="1" x14ac:dyDescent="0.4">
      <c r="A117" s="528" t="s">
        <v>78</v>
      </c>
      <c r="B117" s="529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30"/>
      <c r="B118" s="531"/>
      <c r="C118" s="237"/>
      <c r="D118" s="399"/>
      <c r="E118" s="508" t="s">
        <v>123</v>
      </c>
      <c r="F118" s="509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786.63278939179065</v>
      </c>
      <c r="F119" s="421">
        <f>MIN(F108:F113)</f>
        <v>98.329098673973832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804.06238876989698</v>
      </c>
      <c r="F120" s="422">
        <f>MAX(F108:F113)</f>
        <v>100.50779859623714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40" t="str">
        <f>B26</f>
        <v>Sulfamethoxazole</v>
      </c>
      <c r="D124" s="540"/>
      <c r="E124" s="337" t="s">
        <v>127</v>
      </c>
      <c r="F124" s="337"/>
      <c r="G124" s="423">
        <f>F115</f>
        <v>99.506816811206519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98.329098673973832</v>
      </c>
      <c r="E125" s="348" t="s">
        <v>130</v>
      </c>
      <c r="F125" s="423">
        <f>MAX(F108:F113)</f>
        <v>100.50779859623714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41" t="s">
        <v>26</v>
      </c>
      <c r="C127" s="541"/>
      <c r="E127" s="343" t="s">
        <v>27</v>
      </c>
      <c r="F127" s="378"/>
      <c r="G127" s="541" t="s">
        <v>28</v>
      </c>
      <c r="H127" s="541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 TRIM SST</vt:lpstr>
      <vt:lpstr>SULFS SST</vt:lpstr>
      <vt:lpstr>Uniformity</vt:lpstr>
      <vt:lpstr>trimethoprim</vt:lpstr>
      <vt:lpstr>sulfamethoxazole</vt:lpstr>
      <vt:lpstr>' TRIM SST'!Print_Area</vt:lpstr>
      <vt:lpstr>sulfamethoxazole!Print_Area</vt:lpstr>
      <vt:lpstr>'SULFS SST'!Print_Area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2018-03-23T06:39:49Z</cp:lastPrinted>
  <dcterms:created xsi:type="dcterms:W3CDTF">2005-07-05T10:19:27Z</dcterms:created>
  <dcterms:modified xsi:type="dcterms:W3CDTF">2018-03-26T12:39:46Z</dcterms:modified>
</cp:coreProperties>
</file>