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For Review\2018 Excel Review\"/>
    </mc:Choice>
  </mc:AlternateContent>
  <bookViews>
    <workbookView xWindow="0" yWindow="0" windowWidth="20490" windowHeight="7620" activeTab="3"/>
  </bookViews>
  <sheets>
    <sheet name=" TRIM SST" sheetId="1" r:id="rId1"/>
    <sheet name="Uniformity" sheetId="2" r:id="rId2"/>
    <sheet name="trimethoprim" sheetId="3" r:id="rId3"/>
    <sheet name="sulfamethoxazole" sheetId="4" r:id="rId4"/>
    <sheet name="SULFS SST" sheetId="5" r:id="rId5"/>
  </sheets>
  <definedNames>
    <definedName name="_xlnm.Print_Area" localSheetId="0">' TRIM SST'!$A$15:$G$62</definedName>
    <definedName name="_xlnm.Print_Area" localSheetId="3">sulfamethoxazole!$A$1:$I$131</definedName>
    <definedName name="_xlnm.Print_Area" localSheetId="4">'SULFS SST'!$A$15:$G$64</definedName>
    <definedName name="_xlnm.Print_Area" localSheetId="2">trimethoprim!$A$1:$I$130</definedName>
    <definedName name="_xlnm.Print_Area" localSheetId="1">Uniformity!$A$11:$F$55</definedName>
  </definedNames>
  <calcPr calcId="162913"/>
</workbook>
</file>

<file path=xl/calcChain.xml><?xml version="1.0" encoding="utf-8"?>
<calcChain xmlns="http://schemas.openxmlformats.org/spreadsheetml/2006/main">
  <c r="B21" i="1" l="1"/>
  <c r="F30" i="1" l="1"/>
  <c r="G30" i="5"/>
  <c r="F30" i="5"/>
  <c r="C30" i="5"/>
  <c r="B21" i="5" l="1"/>
  <c r="B32" i="5" l="1"/>
  <c r="E30" i="5"/>
  <c r="D30" i="5"/>
  <c r="B30" i="5"/>
  <c r="B31" i="5" s="1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6" i="2"/>
  <c r="B57" i="4" s="1"/>
  <c r="C45" i="2"/>
  <c r="D40" i="2"/>
  <c r="D36" i="2"/>
  <c r="D35" i="2"/>
  <c r="D32" i="2"/>
  <c r="D31" i="2"/>
  <c r="D29" i="2"/>
  <c r="D28" i="2"/>
  <c r="D27" i="2"/>
  <c r="D25" i="2"/>
  <c r="D24" i="2"/>
  <c r="C19" i="2"/>
  <c r="B32" i="1"/>
  <c r="E30" i="1"/>
  <c r="D30" i="1"/>
  <c r="C30" i="1"/>
  <c r="B30" i="1"/>
  <c r="B31" i="1" s="1"/>
  <c r="D49" i="4" l="1"/>
  <c r="I92" i="3"/>
  <c r="I92" i="4"/>
  <c r="I39" i="4"/>
  <c r="D45" i="3"/>
  <c r="D46" i="3" s="1"/>
  <c r="D101" i="3"/>
  <c r="D97" i="3"/>
  <c r="D98" i="3" s="1"/>
  <c r="B69" i="3"/>
  <c r="I39" i="3"/>
  <c r="D101" i="4"/>
  <c r="F97" i="4"/>
  <c r="F98" i="4" s="1"/>
  <c r="F45" i="4"/>
  <c r="F46" i="4"/>
  <c r="G38" i="4"/>
  <c r="D98" i="4"/>
  <c r="D99" i="4" s="1"/>
  <c r="D45" i="4"/>
  <c r="E39" i="4" s="1"/>
  <c r="D102" i="3"/>
  <c r="E41" i="4"/>
  <c r="B69" i="4"/>
  <c r="D49" i="3"/>
  <c r="E40" i="3"/>
  <c r="G41" i="3"/>
  <c r="E41" i="3"/>
  <c r="E39" i="3"/>
  <c r="F98" i="3"/>
  <c r="F99" i="3" s="1"/>
  <c r="G94" i="4"/>
  <c r="E91" i="4"/>
  <c r="D102" i="4"/>
  <c r="D39" i="2"/>
  <c r="D43" i="2"/>
  <c r="C49" i="2"/>
  <c r="F44" i="3"/>
  <c r="F45" i="3" s="1"/>
  <c r="F46" i="3" s="1"/>
  <c r="G41" i="4"/>
  <c r="D33" i="2"/>
  <c r="D37" i="2"/>
  <c r="D41" i="2"/>
  <c r="C50" i="2"/>
  <c r="G40" i="4"/>
  <c r="D26" i="2"/>
  <c r="D30" i="2"/>
  <c r="D34" i="2"/>
  <c r="D38" i="2"/>
  <c r="D42" i="2"/>
  <c r="B49" i="2"/>
  <c r="D50" i="2"/>
  <c r="G39" i="4"/>
  <c r="D99" i="3" l="1"/>
  <c r="E92" i="3"/>
  <c r="E95" i="3" s="1"/>
  <c r="F99" i="4"/>
  <c r="G93" i="4"/>
  <c r="G91" i="4"/>
  <c r="E91" i="3"/>
  <c r="D46" i="4"/>
  <c r="E38" i="3"/>
  <c r="E42" i="3" s="1"/>
  <c r="G40" i="3"/>
  <c r="E94" i="3"/>
  <c r="G93" i="3"/>
  <c r="G94" i="3"/>
  <c r="E93" i="3"/>
  <c r="G92" i="4"/>
  <c r="E92" i="4"/>
  <c r="E94" i="4"/>
  <c r="E93" i="4"/>
  <c r="E38" i="4"/>
  <c r="G95" i="4"/>
  <c r="E40" i="4"/>
  <c r="G42" i="4"/>
  <c r="G39" i="3"/>
  <c r="G38" i="3"/>
  <c r="G92" i="3"/>
  <c r="G91" i="3"/>
  <c r="D50" i="3" l="1"/>
  <c r="E42" i="4"/>
  <c r="D52" i="3"/>
  <c r="G95" i="3"/>
  <c r="D103" i="3"/>
  <c r="E108" i="3" s="1"/>
  <c r="G42" i="3"/>
  <c r="D105" i="4"/>
  <c r="E95" i="4"/>
  <c r="D103" i="4"/>
  <c r="E111" i="4" s="1"/>
  <c r="F111" i="4" s="1"/>
  <c r="D50" i="4"/>
  <c r="G70" i="4" s="1"/>
  <c r="H70" i="4" s="1"/>
  <c r="D52" i="4"/>
  <c r="G68" i="3"/>
  <c r="H68" i="3" s="1"/>
  <c r="G62" i="3"/>
  <c r="H62" i="3" s="1"/>
  <c r="G71" i="3"/>
  <c r="H71" i="3" s="1"/>
  <c r="G69" i="3"/>
  <c r="H69" i="3" s="1"/>
  <c r="G66" i="3"/>
  <c r="H66" i="3" s="1"/>
  <c r="G64" i="3"/>
  <c r="H64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E112" i="3"/>
  <c r="F112" i="3" s="1"/>
  <c r="D51" i="4"/>
  <c r="D105" i="3"/>
  <c r="E110" i="3" l="1"/>
  <c r="F110" i="3" s="1"/>
  <c r="E109" i="3"/>
  <c r="F109" i="3" s="1"/>
  <c r="E111" i="3"/>
  <c r="F111" i="3" s="1"/>
  <c r="E113" i="3"/>
  <c r="F113" i="3" s="1"/>
  <c r="D104" i="3"/>
  <c r="E113" i="4"/>
  <c r="F113" i="4" s="1"/>
  <c r="E112" i="4"/>
  <c r="F112" i="4" s="1"/>
  <c r="D104" i="4"/>
  <c r="E108" i="4"/>
  <c r="E109" i="4"/>
  <c r="F109" i="4" s="1"/>
  <c r="E110" i="4"/>
  <c r="F110" i="4" s="1"/>
  <c r="G62" i="4"/>
  <c r="H62" i="4" s="1"/>
  <c r="G69" i="4"/>
  <c r="H69" i="4" s="1"/>
  <c r="G68" i="4"/>
  <c r="H68" i="4" s="1"/>
  <c r="G63" i="4"/>
  <c r="H63" i="4" s="1"/>
  <c r="G64" i="4"/>
  <c r="H64" i="4" s="1"/>
  <c r="G65" i="4"/>
  <c r="H65" i="4" s="1"/>
  <c r="G60" i="4"/>
  <c r="G71" i="4"/>
  <c r="H71" i="4" s="1"/>
  <c r="G67" i="4"/>
  <c r="H67" i="4" s="1"/>
  <c r="G66" i="4"/>
  <c r="H66" i="4" s="1"/>
  <c r="G61" i="4"/>
  <c r="H61" i="4" s="1"/>
  <c r="F108" i="3"/>
  <c r="H60" i="3"/>
  <c r="G74" i="3"/>
  <c r="G72" i="3"/>
  <c r="G73" i="3" s="1"/>
  <c r="E119" i="3" l="1"/>
  <c r="E115" i="3"/>
  <c r="E116" i="3" s="1"/>
  <c r="E120" i="3"/>
  <c r="E117" i="3"/>
  <c r="E117" i="4"/>
  <c r="E119" i="4"/>
  <c r="F108" i="4"/>
  <c r="F120" i="4" s="1"/>
  <c r="E120" i="4"/>
  <c r="E115" i="4"/>
  <c r="E116" i="4" s="1"/>
  <c r="G74" i="4"/>
  <c r="H60" i="4"/>
  <c r="H74" i="4" s="1"/>
  <c r="G72" i="4"/>
  <c r="G73" i="4" s="1"/>
  <c r="H74" i="3"/>
  <c r="H72" i="3"/>
  <c r="F119" i="3"/>
  <c r="F125" i="3"/>
  <c r="F120" i="3"/>
  <c r="F117" i="3"/>
  <c r="D125" i="3"/>
  <c r="F115" i="3"/>
  <c r="D125" i="4" l="1"/>
  <c r="F117" i="4"/>
  <c r="F125" i="4"/>
  <c r="F115" i="4"/>
  <c r="G124" i="4" s="1"/>
  <c r="F119" i="4"/>
  <c r="H72" i="4"/>
  <c r="G76" i="4" s="1"/>
  <c r="G124" i="3"/>
  <c r="F116" i="3"/>
  <c r="G76" i="3"/>
  <c r="H73" i="3"/>
  <c r="H73" i="4" l="1"/>
  <c r="F116" i="4"/>
</calcChain>
</file>

<file path=xl/sharedStrings.xml><?xml version="1.0" encoding="utf-8"?>
<sst xmlns="http://schemas.openxmlformats.org/spreadsheetml/2006/main" count="466" uniqueCount="145">
  <si>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</si>
  <si>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</si>
  <si>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</si>
  <si>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</si>
  <si>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</si>
  <si>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</si>
  <si>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</si>
  <si>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NDQB201803341</t>
  </si>
  <si>
    <t>Weight (mg):</t>
  </si>
  <si>
    <t>Sulfamethoxazole BP 800 mg &amp; Trimethoprim BP 160 mg</t>
  </si>
  <si>
    <t>Standard Conc (mg/mL):</t>
  </si>
  <si>
    <t>Each tablet contains: Sulphamethoxazole BP 800 mg and Trimethoprim BP 160 mg.</t>
  </si>
  <si>
    <t>2018-03-13 14:03:39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</si>
  <si>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</si>
  <si>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</si>
  <si>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</si>
  <si>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</si>
  <si>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</si>
  <si>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</si>
  <si>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</si>
  <si>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</si>
  <si>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</si>
  <si>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</si>
  <si>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</si>
  <si>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</si>
  <si>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</si>
  <si>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</si>
  <si>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</si>
  <si>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</si>
  <si>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</si>
  <si>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</si>
  <si>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</si>
  <si>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</si>
  <si>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</si>
  <si>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</si>
  <si>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</si>
  <si>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</si>
  <si>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</si>
  <si>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</si>
  <si>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</si>
  <si>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</si>
  <si>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</si>
  <si>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</si>
  <si>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</si>
  <si>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</si>
  <si>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</si>
  <si>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</si>
  <si>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</si>
  <si>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</si>
  <si>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</si>
  <si>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</si>
  <si>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</si>
  <si>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</si>
  <si>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</si>
  <si>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</si>
  <si>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</si>
  <si>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</si>
  <si>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</si>
  <si>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</si>
  <si>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</si>
  <si>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</si>
  <si>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</si>
  <si>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</si>
  <si>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</si>
  <si>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</si>
  <si>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</si>
  <si>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</si>
  <si>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</si>
  <si>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</si>
  <si>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</si>
  <si>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</si>
  <si>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</si>
  <si>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</si>
  <si>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</si>
  <si>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</si>
  <si>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</si>
  <si>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</si>
  <si>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</si>
  <si>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</si>
  <si>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</si>
  <si>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</si>
  <si>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</si>
  <si>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</si>
  <si>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</si>
  <si>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</si>
  <si>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</si>
  <si>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</si>
  <si>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</si>
  <si>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</si>
  <si>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</si>
  <si>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</si>
  <si>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</si>
  <si>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</si>
  <si>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</si>
  <si>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</si>
  <si>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</si>
  <si>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</si>
  <si>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</si>
  <si>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</si>
  <si>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</si>
  <si>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</si>
  <si>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</si>
  <si>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</si>
  <si>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</si>
  <si>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</si>
  <si>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</si>
  <si>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</si>
  <si>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</si>
  <si>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</si>
  <si>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</si>
  <si>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</si>
  <si>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</si>
  <si>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</si>
  <si>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</si>
  <si>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</si>
  <si>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</si>
  <si>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</si>
  <si>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</si>
  <si>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</si>
  <si>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</si>
  <si>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</si>
  <si>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</si>
  <si>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</si>
  <si>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</si>
  <si>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</si>
  <si>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</si>
  <si>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</si>
  <si>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</si>
  <si>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</si>
  <si>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</si>
  <si>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</si>
  <si>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</si>
  <si>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 xml:space="preserve">Sulfamethoxazole </t>
  </si>
  <si>
    <t>Sulfamethoxazole</t>
  </si>
  <si>
    <t>S12-6</t>
  </si>
  <si>
    <t>T7-5</t>
  </si>
  <si>
    <t>2018-03-13 14:00:19</t>
  </si>
  <si>
    <t>Relative Retention time</t>
  </si>
  <si>
    <t>RESOLUTION</t>
  </si>
  <si>
    <t>Relation Retention  Times (min)</t>
  </si>
  <si>
    <t>sarah</t>
  </si>
  <si>
    <t>26-03-2017</t>
  </si>
  <si>
    <t>The Resolution NLT 5.0 Between Sulfamethoxazole and Trimethoprim</t>
  </si>
  <si>
    <t xml:space="preserve">The RRT for Trimethoprim and Sulfamethoxazole are 1.0 </t>
  </si>
  <si>
    <t>The RRT for Sulfamethoxazole are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</si>
</sst>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13" fillId="3" borderId="34" xfId="3" applyFont="1" applyFill="1" applyBorder="1" applyAlignment="1" applyProtection="1">
      <alignment horizontal="center"/>
      <protection locked="0"/>
    </xf>
    <xf numFmtId="0" fontId="13" fillId="3" borderId="29" xfId="5" applyFont="1" applyFill="1" applyBorder="1" applyAlignment="1" applyProtection="1">
      <alignment horizontal="center"/>
      <protection locked="0"/>
    </xf>
    <xf numFmtId="0" fontId="13" fillId="3" borderId="23" xfId="5" applyFont="1" applyFill="1" applyBorder="1" applyAlignment="1" applyProtection="1">
      <alignment horizontal="center"/>
      <protection locked="0"/>
    </xf>
    <xf numFmtId="0" fontId="13" fillId="3" borderId="29" xfId="7" applyFont="1" applyFill="1" applyBorder="1" applyAlignment="1" applyProtection="1">
      <alignment horizontal="center"/>
      <protection locked="0"/>
    </xf>
    <xf numFmtId="0" fontId="13" fillId="3" borderId="23" xfId="7" applyFont="1" applyFill="1" applyBorder="1" applyAlignment="1" applyProtection="1">
      <alignment horizontal="center"/>
      <protection locked="0"/>
    </xf>
    <xf numFmtId="2" fontId="7" fillId="3" borderId="0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5" fillId="2" borderId="58" xfId="0" applyFont="1" applyFill="1" applyBorder="1" applyAlignment="1">
      <alignment horizontal="center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0" fontId="2" fillId="2" borderId="59" xfId="0" applyFont="1" applyFill="1" applyBorder="1"/>
    <xf numFmtId="0" fontId="2" fillId="2" borderId="60" xfId="0" applyFont="1" applyFill="1" applyBorder="1"/>
    <xf numFmtId="0" fontId="5" fillId="2" borderId="62" xfId="0" applyFont="1" applyFill="1" applyBorder="1" applyAlignment="1">
      <alignment horizontal="center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0" fontId="2" fillId="2" borderId="63" xfId="0" applyFont="1" applyFill="1" applyBorder="1"/>
    <xf numFmtId="0" fontId="2" fillId="2" borderId="64" xfId="0" applyFont="1" applyFill="1" applyBorder="1"/>
    <xf numFmtId="0" fontId="2" fillId="2" borderId="57" xfId="0" applyFont="1" applyFill="1" applyBorder="1"/>
    <xf numFmtId="2" fontId="2" fillId="8" borderId="57" xfId="0" applyNumberFormat="1" applyFont="1" applyFill="1" applyBorder="1" applyAlignment="1">
      <alignment horizontal="center"/>
    </xf>
    <xf numFmtId="0" fontId="2" fillId="9" borderId="63" xfId="0" applyFont="1" applyFill="1" applyBorder="1" applyAlignment="1">
      <alignment horizontal="center"/>
    </xf>
    <xf numFmtId="0" fontId="2" fillId="8" borderId="63" xfId="0" applyFont="1" applyFill="1" applyBorder="1" applyAlignment="1">
      <alignment horizontal="center"/>
    </xf>
    <xf numFmtId="0" fontId="26" fillId="2" borderId="57" xfId="0" applyFont="1" applyFill="1" applyBorder="1"/>
    <xf numFmtId="0" fontId="26" fillId="9" borderId="63" xfId="0" applyFont="1" applyFill="1" applyBorder="1" applyAlignment="1">
      <alignment horizontal="center"/>
    </xf>
    <xf numFmtId="0" fontId="26" fillId="8" borderId="63" xfId="0" applyFont="1" applyFill="1" applyBorder="1" applyAlignment="1">
      <alignment horizontal="center"/>
    </xf>
    <xf numFmtId="0" fontId="26" fillId="0" borderId="63" xfId="0" applyFont="1" applyFill="1" applyBorder="1"/>
    <xf numFmtId="0" fontId="26" fillId="0" borderId="64" xfId="0" applyFont="1" applyFill="1" applyBorder="1"/>
    <xf numFmtId="0" fontId="27" fillId="2" borderId="7" xfId="0" applyFont="1" applyFill="1" applyBorder="1"/>
    <xf numFmtId="0" fontId="28" fillId="2" borderId="0" xfId="0" applyFont="1" applyFill="1"/>
    <xf numFmtId="0" fontId="28" fillId="2" borderId="0" xfId="0" applyFont="1" applyFill="1" applyAlignment="1" applyProtection="1">
      <alignment horizontal="left"/>
      <protection locked="0"/>
    </xf>
    <xf numFmtId="2" fontId="2" fillId="8" borderId="61" xfId="0" applyNumberFormat="1" applyFont="1" applyFill="1" applyBorder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2" fillId="8" borderId="0" xfId="0" applyFont="1" applyFill="1"/>
    <xf numFmtId="2" fontId="5" fillId="10" borderId="66" xfId="0" applyNumberFormat="1" applyFont="1" applyFill="1" applyBorder="1" applyAlignment="1">
      <alignment horizontal="center"/>
    </xf>
    <xf numFmtId="0" fontId="2" fillId="9" borderId="65" xfId="0" applyFont="1" applyFill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zoomScale="70" zoomScaleNormal="70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509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22.46</v>
      </c>
      <c r="C20" s="10"/>
      <c r="D20" s="10"/>
      <c r="E20" s="10"/>
    </row>
    <row r="21" spans="1:6" ht="16.5" customHeight="1" x14ac:dyDescent="0.3">
      <c r="A21" s="7" t="s">
        <v>10</v>
      </c>
      <c r="B21" s="13">
        <f>22.46/25*4/100</f>
        <v>3.5936000000000003E-2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482" t="s">
        <v>137</v>
      </c>
    </row>
    <row r="24" spans="1:6" ht="16.5" customHeight="1" x14ac:dyDescent="0.3">
      <c r="A24" s="17">
        <v>1</v>
      </c>
      <c r="B24" s="18">
        <v>2757576</v>
      </c>
      <c r="C24" s="18">
        <v>6277.5</v>
      </c>
      <c r="D24" s="19">
        <v>1.2</v>
      </c>
      <c r="E24" s="20">
        <v>5.3</v>
      </c>
      <c r="F24" s="481">
        <v>1</v>
      </c>
    </row>
    <row r="25" spans="1:6" ht="16.5" customHeight="1" x14ac:dyDescent="0.3">
      <c r="A25" s="17">
        <v>2</v>
      </c>
      <c r="B25" s="18">
        <v>2743969</v>
      </c>
      <c r="C25" s="18">
        <v>6230.1</v>
      </c>
      <c r="D25" s="19">
        <v>1.2</v>
      </c>
      <c r="E25" s="19">
        <v>5.3</v>
      </c>
      <c r="F25" s="481">
        <v>1</v>
      </c>
    </row>
    <row r="26" spans="1:6" ht="16.5" customHeight="1" x14ac:dyDescent="0.3">
      <c r="A26" s="17">
        <v>3</v>
      </c>
      <c r="B26" s="18">
        <v>2754234</v>
      </c>
      <c r="C26" s="18">
        <v>6159.3</v>
      </c>
      <c r="D26" s="19">
        <v>1.2</v>
      </c>
      <c r="E26" s="19">
        <v>5.3</v>
      </c>
      <c r="F26" s="481">
        <v>1</v>
      </c>
    </row>
    <row r="27" spans="1:6" ht="16.5" customHeight="1" x14ac:dyDescent="0.3">
      <c r="A27" s="17">
        <v>4</v>
      </c>
      <c r="B27" s="18">
        <v>2747200</v>
      </c>
      <c r="C27" s="18">
        <v>6174.5</v>
      </c>
      <c r="D27" s="19">
        <v>1.2</v>
      </c>
      <c r="E27" s="19">
        <v>5.3</v>
      </c>
      <c r="F27" s="481">
        <v>1</v>
      </c>
    </row>
    <row r="28" spans="1:6" ht="16.5" customHeight="1" x14ac:dyDescent="0.3">
      <c r="A28" s="17">
        <v>5</v>
      </c>
      <c r="B28" s="18">
        <v>2766594</v>
      </c>
      <c r="C28" s="18">
        <v>6109.6</v>
      </c>
      <c r="D28" s="19">
        <v>1.2</v>
      </c>
      <c r="E28" s="19">
        <v>5.3</v>
      </c>
      <c r="F28" s="481">
        <v>1</v>
      </c>
    </row>
    <row r="29" spans="1:6" ht="16.5" customHeight="1" thickBot="1" x14ac:dyDescent="0.35">
      <c r="A29" s="17">
        <v>6</v>
      </c>
      <c r="B29" s="21">
        <v>2772034</v>
      </c>
      <c r="C29" s="21">
        <v>6114.7</v>
      </c>
      <c r="D29" s="22">
        <v>1.2</v>
      </c>
      <c r="E29" s="19">
        <v>5.3</v>
      </c>
      <c r="F29" s="481">
        <v>1</v>
      </c>
    </row>
    <row r="30" spans="1:6" ht="16.5" customHeight="1" thickBot="1" x14ac:dyDescent="0.35">
      <c r="A30" s="23" t="s">
        <v>18</v>
      </c>
      <c r="B30" s="24">
        <f>AVERAGE(B24:B29)</f>
        <v>2756934.5</v>
      </c>
      <c r="C30" s="25">
        <f>AVERAGE(C24:C29)</f>
        <v>6177.6166666666659</v>
      </c>
      <c r="D30" s="486">
        <f>AVERAGE(D24:D29)</f>
        <v>1.2</v>
      </c>
      <c r="E30" s="511">
        <f>AVERAGE(E24:E29)</f>
        <v>5.3</v>
      </c>
      <c r="F30" s="508">
        <f>AVERAGE(F24:F29)</f>
        <v>1</v>
      </c>
    </row>
    <row r="31" spans="1:6" ht="16.5" customHeight="1" x14ac:dyDescent="0.3">
      <c r="A31" s="27" t="s">
        <v>19</v>
      </c>
      <c r="B31" s="28">
        <f>(STDEV(B24:B29)/B30)</f>
        <v>3.9464046969888205E-3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506" t="s">
        <v>143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22.46</v>
      </c>
      <c r="C41" s="10"/>
      <c r="D41" s="10"/>
      <c r="E41" s="10"/>
    </row>
    <row r="42" spans="1:6" ht="16.5" customHeight="1" x14ac:dyDescent="0.3">
      <c r="A42" s="7" t="s">
        <v>10</v>
      </c>
      <c r="B42" s="13">
        <v>3.5936000000000003E-2</v>
      </c>
      <c r="C42" s="10"/>
      <c r="D42" s="10"/>
      <c r="E42" s="10"/>
    </row>
    <row r="43" spans="1:6" ht="15.75" customHeight="1" thickBot="1" x14ac:dyDescent="0.3">
      <c r="A43" s="10"/>
      <c r="B43" s="10"/>
      <c r="C43" s="10"/>
      <c r="D43" s="10"/>
      <c r="E43" s="10"/>
    </row>
    <row r="44" spans="1:6" ht="16.5" customHeight="1" thickBot="1" x14ac:dyDescent="0.35">
      <c r="A44" s="14" t="s">
        <v>13</v>
      </c>
      <c r="B44" s="15" t="s">
        <v>14</v>
      </c>
      <c r="C44" s="14" t="s">
        <v>15</v>
      </c>
      <c r="D44" s="14" t="s">
        <v>16</v>
      </c>
      <c r="E44" s="15" t="s">
        <v>17</v>
      </c>
      <c r="F44" s="496" t="s">
        <v>137</v>
      </c>
    </row>
    <row r="45" spans="1:6" ht="16.5" customHeight="1" x14ac:dyDescent="0.3">
      <c r="A45" s="17">
        <v>1</v>
      </c>
      <c r="B45" s="18">
        <v>2757576</v>
      </c>
      <c r="C45" s="18">
        <v>6277.5</v>
      </c>
      <c r="D45" s="19">
        <v>1.2</v>
      </c>
      <c r="E45" s="483">
        <v>5.3</v>
      </c>
      <c r="F45" s="512">
        <v>1</v>
      </c>
    </row>
    <row r="46" spans="1:6" ht="16.5" customHeight="1" x14ac:dyDescent="0.3">
      <c r="A46" s="17">
        <v>2</v>
      </c>
      <c r="B46" s="18">
        <v>2743969</v>
      </c>
      <c r="C46" s="18">
        <v>6230.1</v>
      </c>
      <c r="D46" s="19">
        <v>1.2</v>
      </c>
      <c r="E46" s="484">
        <v>5.3</v>
      </c>
      <c r="F46" s="498">
        <v>1</v>
      </c>
    </row>
    <row r="47" spans="1:6" ht="16.5" customHeight="1" x14ac:dyDescent="0.3">
      <c r="A47" s="17">
        <v>3</v>
      </c>
      <c r="B47" s="18">
        <v>2754234</v>
      </c>
      <c r="C47" s="18">
        <v>6159.3</v>
      </c>
      <c r="D47" s="19">
        <v>1.2</v>
      </c>
      <c r="E47" s="484">
        <v>5.3</v>
      </c>
      <c r="F47" s="498">
        <v>1</v>
      </c>
    </row>
    <row r="48" spans="1:6" ht="16.5" customHeight="1" x14ac:dyDescent="0.3">
      <c r="A48" s="17">
        <v>4</v>
      </c>
      <c r="B48" s="18">
        <v>2747200</v>
      </c>
      <c r="C48" s="18">
        <v>6174.5</v>
      </c>
      <c r="D48" s="19">
        <v>1.2</v>
      </c>
      <c r="E48" s="484">
        <v>5.3</v>
      </c>
      <c r="F48" s="498">
        <v>1</v>
      </c>
    </row>
    <row r="49" spans="1:7" ht="16.5" customHeight="1" x14ac:dyDescent="0.3">
      <c r="A49" s="17">
        <v>5</v>
      </c>
      <c r="B49" s="18">
        <v>2766594</v>
      </c>
      <c r="C49" s="18">
        <v>6109.6</v>
      </c>
      <c r="D49" s="19">
        <v>1.2</v>
      </c>
      <c r="E49" s="484">
        <v>5.3</v>
      </c>
      <c r="F49" s="498">
        <v>1</v>
      </c>
    </row>
    <row r="50" spans="1:7" ht="16.5" customHeight="1" thickBot="1" x14ac:dyDescent="0.35">
      <c r="A50" s="17">
        <v>6</v>
      </c>
      <c r="B50" s="21">
        <v>2772034</v>
      </c>
      <c r="C50" s="21">
        <v>6114.7</v>
      </c>
      <c r="D50" s="22">
        <v>1.2</v>
      </c>
      <c r="E50" s="485">
        <v>5.3</v>
      </c>
      <c r="F50" s="513">
        <v>1</v>
      </c>
    </row>
    <row r="51" spans="1:7" ht="16.5" customHeight="1" x14ac:dyDescent="0.3">
      <c r="A51" s="23" t="s">
        <v>18</v>
      </c>
      <c r="B51" s="24">
        <v>2756934.5</v>
      </c>
      <c r="C51" s="25">
        <v>6177.6166666666659</v>
      </c>
      <c r="D51" s="26">
        <v>1.2</v>
      </c>
      <c r="E51" s="26">
        <v>5.3</v>
      </c>
      <c r="F51" s="510">
        <v>1</v>
      </c>
    </row>
    <row r="52" spans="1:7" ht="16.5" customHeight="1" x14ac:dyDescent="0.3">
      <c r="A52" s="27" t="s">
        <v>19</v>
      </c>
      <c r="B52" s="28">
        <v>3.9464046969888205E-3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15" t="s">
        <v>26</v>
      </c>
      <c r="C59" s="51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505" t="s">
        <v>140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0" zoomScale="60" workbookViewId="0">
      <selection activeCell="A11" sqref="A11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9" t="s">
        <v>31</v>
      </c>
      <c r="B11" s="520"/>
      <c r="C11" s="520"/>
      <c r="D11" s="520"/>
      <c r="E11" s="520"/>
      <c r="F11" s="521"/>
      <c r="G11" s="91"/>
    </row>
    <row r="12" spans="1:7" ht="16.5" customHeight="1" x14ac:dyDescent="0.3">
      <c r="A12" s="518" t="s">
        <v>32</v>
      </c>
      <c r="B12" s="518"/>
      <c r="C12" s="518"/>
      <c r="D12" s="518"/>
      <c r="E12" s="518"/>
      <c r="F12" s="518"/>
      <c r="G12" s="90"/>
    </row>
    <row r="14" spans="1:7" ht="16.5" customHeight="1" x14ac:dyDescent="0.3">
      <c r="A14" s="523" t="s">
        <v>33</v>
      </c>
      <c r="B14" s="523"/>
      <c r="C14" s="60" t="s">
        <v>5</v>
      </c>
    </row>
    <row r="15" spans="1:7" ht="16.5" customHeight="1" x14ac:dyDescent="0.3">
      <c r="A15" s="523" t="s">
        <v>34</v>
      </c>
      <c r="B15" s="523"/>
      <c r="C15" s="60" t="s">
        <v>7</v>
      </c>
    </row>
    <row r="16" spans="1:7" ht="16.5" customHeight="1" x14ac:dyDescent="0.3">
      <c r="A16" s="523" t="s">
        <v>35</v>
      </c>
      <c r="B16" s="523"/>
      <c r="C16" s="60" t="s">
        <v>9</v>
      </c>
    </row>
    <row r="17" spans="1:5" ht="16.5" customHeight="1" x14ac:dyDescent="0.3">
      <c r="A17" s="523" t="s">
        <v>36</v>
      </c>
      <c r="B17" s="523"/>
      <c r="C17" s="60" t="s">
        <v>11</v>
      </c>
    </row>
    <row r="18" spans="1:5" ht="16.5" customHeight="1" x14ac:dyDescent="0.3">
      <c r="A18" s="523" t="s">
        <v>37</v>
      </c>
      <c r="B18" s="523"/>
      <c r="C18" s="97" t="s">
        <v>12</v>
      </c>
    </row>
    <row r="19" spans="1:5" ht="16.5" customHeight="1" x14ac:dyDescent="0.3">
      <c r="A19" s="523" t="s">
        <v>38</v>
      </c>
      <c r="B19" s="52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18" t="s">
        <v>1</v>
      </c>
      <c r="B21" s="518"/>
      <c r="C21" s="59" t="s">
        <v>39</v>
      </c>
      <c r="D21" s="66"/>
    </row>
    <row r="22" spans="1:5" ht="15.75" customHeight="1" x14ac:dyDescent="0.3">
      <c r="A22" s="522"/>
      <c r="B22" s="522"/>
      <c r="C22" s="57"/>
      <c r="D22" s="522"/>
      <c r="E22" s="52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1090.5</v>
      </c>
      <c r="D24" s="87">
        <f t="shared" ref="D24:D43" si="0">(C24-$C$46)/$C$46</f>
        <v>1.2215740720543697E-2</v>
      </c>
      <c r="E24" s="53"/>
    </row>
    <row r="25" spans="1:5" ht="15.75" customHeight="1" x14ac:dyDescent="0.3">
      <c r="C25" s="95">
        <v>1068.8499999999999</v>
      </c>
      <c r="D25" s="88">
        <f t="shared" si="0"/>
        <v>-7.8800600924777281E-3</v>
      </c>
      <c r="E25" s="53"/>
    </row>
    <row r="26" spans="1:5" ht="15.75" customHeight="1" x14ac:dyDescent="0.3">
      <c r="C26" s="95">
        <v>1078.57</v>
      </c>
      <c r="D26" s="88">
        <f t="shared" si="0"/>
        <v>1.1421654919364975E-3</v>
      </c>
      <c r="E26" s="53"/>
    </row>
    <row r="27" spans="1:5" ht="15.75" customHeight="1" x14ac:dyDescent="0.3">
      <c r="C27" s="95">
        <v>1085.02</v>
      </c>
      <c r="D27" s="88">
        <f t="shared" si="0"/>
        <v>7.1291361729521356E-3</v>
      </c>
      <c r="E27" s="53"/>
    </row>
    <row r="28" spans="1:5" ht="15.75" customHeight="1" x14ac:dyDescent="0.3">
      <c r="C28" s="95">
        <v>1079.32</v>
      </c>
      <c r="D28" s="88">
        <f t="shared" si="0"/>
        <v>1.8383248734499388E-3</v>
      </c>
      <c r="E28" s="53"/>
    </row>
    <row r="29" spans="1:5" ht="15.75" customHeight="1" x14ac:dyDescent="0.3">
      <c r="C29" s="95">
        <v>1065.45</v>
      </c>
      <c r="D29" s="88">
        <f t="shared" si="0"/>
        <v>-1.1035982622005202E-2</v>
      </c>
      <c r="E29" s="53"/>
    </row>
    <row r="30" spans="1:5" ht="15.75" customHeight="1" x14ac:dyDescent="0.3">
      <c r="C30" s="95">
        <v>1075.69</v>
      </c>
      <c r="D30" s="88">
        <f t="shared" si="0"/>
        <v>-1.5310865330750074E-3</v>
      </c>
      <c r="E30" s="53"/>
    </row>
    <row r="31" spans="1:5" ht="15.75" customHeight="1" x14ac:dyDescent="0.3">
      <c r="C31" s="95">
        <v>1080.1400000000001</v>
      </c>
      <c r="D31" s="88">
        <f t="shared" si="0"/>
        <v>2.5994591305714535E-3</v>
      </c>
      <c r="E31" s="53"/>
    </row>
    <row r="32" spans="1:5" ht="15.75" customHeight="1" x14ac:dyDescent="0.3">
      <c r="C32" s="95">
        <v>1072.29</v>
      </c>
      <c r="D32" s="88">
        <f t="shared" si="0"/>
        <v>-4.6870090626026928E-3</v>
      </c>
      <c r="E32" s="53"/>
    </row>
    <row r="33" spans="1:7" ht="15.75" customHeight="1" x14ac:dyDescent="0.3">
      <c r="C33" s="95">
        <v>1079.8699999999999</v>
      </c>
      <c r="D33" s="88">
        <f t="shared" si="0"/>
        <v>2.3488417532264204E-3</v>
      </c>
      <c r="E33" s="53"/>
    </row>
    <row r="34" spans="1:7" ht="15.75" customHeight="1" x14ac:dyDescent="0.3">
      <c r="C34" s="95">
        <v>1069</v>
      </c>
      <c r="D34" s="88">
        <f t="shared" si="0"/>
        <v>-7.7408282161749546E-3</v>
      </c>
      <c r="E34" s="53"/>
    </row>
    <row r="35" spans="1:7" ht="15.75" customHeight="1" x14ac:dyDescent="0.3">
      <c r="C35" s="95">
        <v>1085.9100000000001</v>
      </c>
      <c r="D35" s="88">
        <f t="shared" si="0"/>
        <v>7.955245305681511E-3</v>
      </c>
      <c r="E35" s="53"/>
    </row>
    <row r="36" spans="1:7" ht="15.75" customHeight="1" x14ac:dyDescent="0.3">
      <c r="C36" s="95">
        <v>1078.3699999999999</v>
      </c>
      <c r="D36" s="88">
        <f t="shared" si="0"/>
        <v>9.5652299019953761E-4</v>
      </c>
      <c r="E36" s="53"/>
    </row>
    <row r="37" spans="1:7" ht="15.75" customHeight="1" x14ac:dyDescent="0.3">
      <c r="C37" s="95">
        <v>1069.47</v>
      </c>
      <c r="D37" s="88">
        <f t="shared" si="0"/>
        <v>-7.3045683370931728E-3</v>
      </c>
      <c r="E37" s="53"/>
    </row>
    <row r="38" spans="1:7" ht="15.75" customHeight="1" x14ac:dyDescent="0.3">
      <c r="C38" s="95">
        <v>1078.42</v>
      </c>
      <c r="D38" s="88">
        <f t="shared" si="0"/>
        <v>1.0029336156339359E-3</v>
      </c>
      <c r="E38" s="53"/>
    </row>
    <row r="39" spans="1:7" ht="15.75" customHeight="1" x14ac:dyDescent="0.3">
      <c r="C39" s="95">
        <v>1080.1500000000001</v>
      </c>
      <c r="D39" s="88">
        <f t="shared" si="0"/>
        <v>2.6087412556582909E-3</v>
      </c>
      <c r="E39" s="53"/>
    </row>
    <row r="40" spans="1:7" ht="15.75" customHeight="1" x14ac:dyDescent="0.3">
      <c r="C40" s="95">
        <v>1070.17</v>
      </c>
      <c r="D40" s="88">
        <f t="shared" si="0"/>
        <v>-6.6548195810139186E-3</v>
      </c>
      <c r="E40" s="53"/>
    </row>
    <row r="41" spans="1:7" ht="15.75" customHeight="1" x14ac:dyDescent="0.3">
      <c r="C41" s="95">
        <v>1076.3599999999999</v>
      </c>
      <c r="D41" s="88">
        <f t="shared" si="0"/>
        <v>-9.0918415225647669E-4</v>
      </c>
      <c r="E41" s="53"/>
    </row>
    <row r="42" spans="1:7" ht="15.75" customHeight="1" x14ac:dyDescent="0.3">
      <c r="C42" s="95">
        <v>1077.6099999999999</v>
      </c>
      <c r="D42" s="88">
        <f t="shared" si="0"/>
        <v>2.5108148359925884E-4</v>
      </c>
      <c r="E42" s="53"/>
    </row>
    <row r="43" spans="1:7" ht="16.5" customHeight="1" x14ac:dyDescent="0.3">
      <c r="C43" s="96">
        <v>1085.6300000000001</v>
      </c>
      <c r="D43" s="89">
        <f t="shared" si="0"/>
        <v>7.6953458032498522E-3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21546.789999999997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1077.3394999999998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16">
        <f>C46</f>
        <v>1077.3394999999998</v>
      </c>
      <c r="C49" s="93">
        <f>-IF(C46&lt;=80,10%,IF(C46&lt;250,7.5%,5%))</f>
        <v>-0.05</v>
      </c>
      <c r="D49" s="81">
        <f>IF(C46&lt;=80,C46*0.9,IF(C46&lt;250,C46*0.925,C46*0.95))</f>
        <v>1023.4725249999998</v>
      </c>
    </row>
    <row r="50" spans="1:6" ht="17.25" customHeight="1" x14ac:dyDescent="0.3">
      <c r="B50" s="517"/>
      <c r="C50" s="94">
        <f>IF(C46&lt;=80, 10%, IF(C46&lt;250, 7.5%, 5%))</f>
        <v>0.05</v>
      </c>
      <c r="D50" s="81">
        <f>IF(C46&lt;=80, C46*1.1, IF(C46&lt;250, C46*1.075, C46*1.05))</f>
        <v>1131.206475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66" zoomScale="60" zoomScaleNormal="60" zoomScalePageLayoutView="60" workbookViewId="0">
      <selection activeCell="F97" sqref="F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4" t="s">
        <v>45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 x14ac:dyDescent="0.25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 x14ac:dyDescent="0.25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 x14ac:dyDescent="0.25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 x14ac:dyDescent="0.25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 x14ac:dyDescent="0.25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 x14ac:dyDescent="0.25">
      <c r="A7" s="524"/>
      <c r="B7" s="524"/>
      <c r="C7" s="524"/>
      <c r="D7" s="524"/>
      <c r="E7" s="524"/>
      <c r="F7" s="524"/>
      <c r="G7" s="524"/>
      <c r="H7" s="524"/>
      <c r="I7" s="524"/>
    </row>
    <row r="8" spans="1:9" x14ac:dyDescent="0.25">
      <c r="A8" s="525" t="s">
        <v>46</v>
      </c>
      <c r="B8" s="525"/>
      <c r="C8" s="525"/>
      <c r="D8" s="525"/>
      <c r="E8" s="525"/>
      <c r="F8" s="525"/>
      <c r="G8" s="525"/>
      <c r="H8" s="525"/>
      <c r="I8" s="525"/>
    </row>
    <row r="9" spans="1:9" x14ac:dyDescent="0.25">
      <c r="A9" s="525"/>
      <c r="B9" s="525"/>
      <c r="C9" s="525"/>
      <c r="D9" s="525"/>
      <c r="E9" s="525"/>
      <c r="F9" s="525"/>
      <c r="G9" s="525"/>
      <c r="H9" s="525"/>
      <c r="I9" s="525"/>
    </row>
    <row r="10" spans="1:9" x14ac:dyDescent="0.25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 x14ac:dyDescent="0.25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 x14ac:dyDescent="0.25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 x14ac:dyDescent="0.25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 x14ac:dyDescent="0.25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x14ac:dyDescent="0.3">
      <c r="A15" s="98"/>
    </row>
    <row r="16" spans="1:9" ht="19.5" customHeight="1" x14ac:dyDescent="0.3">
      <c r="A16" s="557" t="s">
        <v>31</v>
      </c>
      <c r="B16" s="558"/>
      <c r="C16" s="558"/>
      <c r="D16" s="558"/>
      <c r="E16" s="558"/>
      <c r="F16" s="558"/>
      <c r="G16" s="558"/>
      <c r="H16" s="559"/>
    </row>
    <row r="17" spans="1:14" ht="20.25" customHeight="1" x14ac:dyDescent="0.25">
      <c r="A17" s="560" t="s">
        <v>47</v>
      </c>
      <c r="B17" s="560"/>
      <c r="C17" s="560"/>
      <c r="D17" s="560"/>
      <c r="E17" s="560"/>
      <c r="F17" s="560"/>
      <c r="G17" s="560"/>
      <c r="H17" s="560"/>
    </row>
    <row r="18" spans="1:14" ht="26.25" customHeight="1" x14ac:dyDescent="0.4">
      <c r="A18" s="100" t="s">
        <v>33</v>
      </c>
      <c r="B18" s="556" t="s">
        <v>5</v>
      </c>
      <c r="C18" s="556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61" t="s">
        <v>131</v>
      </c>
      <c r="C20" s="56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61" t="s">
        <v>11</v>
      </c>
      <c r="C21" s="561"/>
      <c r="D21" s="561"/>
      <c r="E21" s="561"/>
      <c r="F21" s="561"/>
      <c r="G21" s="561"/>
      <c r="H21" s="561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56" t="s">
        <v>131</v>
      </c>
      <c r="C26" s="556"/>
    </row>
    <row r="27" spans="1:14" ht="26.25" customHeight="1" x14ac:dyDescent="0.4">
      <c r="A27" s="109" t="s">
        <v>48</v>
      </c>
      <c r="B27" s="562" t="s">
        <v>135</v>
      </c>
      <c r="C27" s="562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/>
      <c r="C29" s="532" t="s">
        <v>50</v>
      </c>
      <c r="D29" s="533"/>
      <c r="E29" s="533"/>
      <c r="F29" s="533"/>
      <c r="G29" s="53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35" t="s">
        <v>53</v>
      </c>
      <c r="D31" s="536"/>
      <c r="E31" s="536"/>
      <c r="F31" s="536"/>
      <c r="G31" s="536"/>
      <c r="H31" s="53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35" t="s">
        <v>55</v>
      </c>
      <c r="D32" s="536"/>
      <c r="E32" s="536"/>
      <c r="F32" s="536"/>
      <c r="G32" s="536"/>
      <c r="H32" s="53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538" t="s">
        <v>59</v>
      </c>
      <c r="E36" s="563"/>
      <c r="F36" s="538" t="s">
        <v>60</v>
      </c>
      <c r="G36" s="539"/>
      <c r="J36" s="112"/>
      <c r="K36" s="112"/>
      <c r="L36" s="117"/>
      <c r="M36" s="117"/>
      <c r="N36" s="118"/>
    </row>
    <row r="37" spans="1:14" s="14" customFormat="1" ht="27" customHeight="1" thickBot="1" x14ac:dyDescent="0.45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477">
        <v>2778373</v>
      </c>
      <c r="E38" s="132">
        <f>IF(ISBLANK(D38),"-",$D$48/$D$45*D38)</f>
        <v>2481507.7467487054</v>
      </c>
      <c r="F38" s="479">
        <v>2519748</v>
      </c>
      <c r="G38" s="133">
        <f>IF(ISBLANK(F38),"-",$D$48/$F$45*F38)</f>
        <v>2496128.3851554664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478">
        <v>2823837</v>
      </c>
      <c r="E39" s="137">
        <f>IF(ISBLANK(D39),"-",$D$48/$D$45*D39)</f>
        <v>2522113.9821959198</v>
      </c>
      <c r="F39" s="480">
        <v>2528860</v>
      </c>
      <c r="G39" s="138">
        <f>IF(ISBLANK(F39),"-",$D$48/$F$45*F39)</f>
        <v>2505154.9710860979</v>
      </c>
      <c r="I39" s="540">
        <f>ABS((F43/D43*D42)-F42)/D42</f>
        <v>3.3221657788246703E-3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478">
        <v>2808110</v>
      </c>
      <c r="E40" s="137">
        <f>IF(ISBLANK(D40),"-",$D$48/$D$45*D40)</f>
        <v>2508067.3900597608</v>
      </c>
      <c r="F40" s="480">
        <v>2506220</v>
      </c>
      <c r="G40" s="138">
        <f>IF(ISBLANK(F40),"-",$D$48/$F$45*F40)</f>
        <v>2482727.1939274613</v>
      </c>
      <c r="I40" s="540"/>
      <c r="L40" s="117"/>
      <c r="M40" s="117"/>
      <c r="N40" s="139"/>
    </row>
    <row r="41" spans="1:14" ht="27" customHeight="1" thickBot="1" x14ac:dyDescent="0.45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thickBot="1" x14ac:dyDescent="0.45">
      <c r="A42" s="124" t="s">
        <v>70</v>
      </c>
      <c r="B42" s="125">
        <v>1</v>
      </c>
      <c r="C42" s="145" t="s">
        <v>71</v>
      </c>
      <c r="D42" s="146">
        <f>AVERAGE(D38:D41)</f>
        <v>2803440</v>
      </c>
      <c r="E42" s="147">
        <f>AVERAGE(E38:E41)</f>
        <v>2503896.3730014623</v>
      </c>
      <c r="F42" s="146">
        <f>AVERAGE(F38:F41)</f>
        <v>2518276</v>
      </c>
      <c r="G42" s="148">
        <f>AVERAGE(G38:G41)</f>
        <v>2494670.1833896753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22.46</v>
      </c>
      <c r="E43" s="139"/>
      <c r="F43" s="151">
        <v>20.25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22.46</v>
      </c>
      <c r="E44" s="154"/>
      <c r="F44" s="153">
        <f>F43*$B$34</f>
        <v>20.25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625</v>
      </c>
      <c r="C45" s="152" t="s">
        <v>77</v>
      </c>
      <c r="D45" s="156">
        <f>D44*$B$30/100</f>
        <v>22.392620000000001</v>
      </c>
      <c r="E45" s="157"/>
      <c r="F45" s="156">
        <f>F44*$B$30/100</f>
        <v>20.189250000000001</v>
      </c>
      <c r="H45" s="149"/>
    </row>
    <row r="46" spans="1:14" ht="19.5" customHeight="1" x14ac:dyDescent="0.3">
      <c r="A46" s="526" t="s">
        <v>78</v>
      </c>
      <c r="B46" s="527"/>
      <c r="C46" s="152" t="s">
        <v>79</v>
      </c>
      <c r="D46" s="158">
        <f>D45/$B$45</f>
        <v>3.5828192000000002E-2</v>
      </c>
      <c r="E46" s="159"/>
      <c r="F46" s="160">
        <f>F45/$B$45</f>
        <v>3.23028E-2</v>
      </c>
      <c r="H46" s="149"/>
    </row>
    <row r="47" spans="1:14" ht="27" customHeight="1" x14ac:dyDescent="0.4">
      <c r="A47" s="528"/>
      <c r="B47" s="529"/>
      <c r="C47" s="161" t="s">
        <v>80</v>
      </c>
      <c r="D47" s="162">
        <v>3.2000000000000001E-2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2499283.2781955688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6.2829609900289518E-3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contains: Sulphamethoxazole BP 800 mg and Trimethoprim BP 160 mg.</v>
      </c>
    </row>
    <row r="56" spans="1:12" ht="26.25" customHeight="1" x14ac:dyDescent="0.4">
      <c r="A56" s="176" t="s">
        <v>87</v>
      </c>
      <c r="B56" s="177">
        <v>160</v>
      </c>
      <c r="C56" s="99" t="str">
        <f>B20</f>
        <v>Trimethoprim</v>
      </c>
      <c r="H56" s="178"/>
    </row>
    <row r="57" spans="1:12" ht="18.75" x14ac:dyDescent="0.3">
      <c r="A57" s="175" t="s">
        <v>88</v>
      </c>
      <c r="B57" s="246">
        <f>Uniformity!C46</f>
        <v>1077.3394999999998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43" t="s">
        <v>94</v>
      </c>
      <c r="D60" s="546">
        <v>1088.74</v>
      </c>
      <c r="E60" s="181">
        <v>1</v>
      </c>
      <c r="F60" s="182">
        <v>2594455</v>
      </c>
      <c r="G60" s="247">
        <f>IF(ISBLANK(F60),"-",(F60/$D$50*$D$47*$B$68)*($B$57/$D$60))</f>
        <v>164.35353357186852</v>
      </c>
      <c r="H60" s="265">
        <f t="shared" ref="H60:H71" si="0">IF(ISBLANK(F60),"-",(G60/$B$56)*100)</f>
        <v>102.72095848241783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44"/>
      <c r="D61" s="547"/>
      <c r="E61" s="183">
        <v>2</v>
      </c>
      <c r="F61" s="136">
        <v>2593969</v>
      </c>
      <c r="G61" s="248">
        <f>IF(ISBLANK(F61),"-",(F61/$D$50*$D$47*$B$68)*($B$57/$D$60))</f>
        <v>164.32274644419977</v>
      </c>
      <c r="H61" s="266">
        <f t="shared" si="0"/>
        <v>102.70171652762485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44"/>
      <c r="D62" s="547"/>
      <c r="E62" s="183">
        <v>3</v>
      </c>
      <c r="F62" s="184">
        <v>2565456</v>
      </c>
      <c r="G62" s="248">
        <f>IF(ISBLANK(F62),"-",(F62/$D$50*$D$47*$B$68)*($B$57/$D$60))</f>
        <v>162.51650493963146</v>
      </c>
      <c r="H62" s="266">
        <f t="shared" si="0"/>
        <v>101.57281558726967</v>
      </c>
      <c r="L62" s="112"/>
    </row>
    <row r="63" spans="1:12" ht="27" customHeight="1" x14ac:dyDescent="0.4">
      <c r="A63" s="124" t="s">
        <v>97</v>
      </c>
      <c r="B63" s="125">
        <v>1</v>
      </c>
      <c r="C63" s="553"/>
      <c r="D63" s="548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43" t="s">
        <v>99</v>
      </c>
      <c r="D64" s="546">
        <v>1068.29</v>
      </c>
      <c r="E64" s="181">
        <v>1</v>
      </c>
      <c r="F64" s="182">
        <v>2519582</v>
      </c>
      <c r="G64" s="247">
        <f>IF(ISBLANK(F64),"-",(F64/$D$50*$D$47*$B$68)*($B$57/$D$64))</f>
        <v>162.66586105765614</v>
      </c>
      <c r="H64" s="265">
        <f t="shared" si="0"/>
        <v>101.6661631610351</v>
      </c>
    </row>
    <row r="65" spans="1:8" ht="26.25" customHeight="1" x14ac:dyDescent="0.4">
      <c r="A65" s="124" t="s">
        <v>100</v>
      </c>
      <c r="B65" s="125">
        <v>1</v>
      </c>
      <c r="C65" s="544"/>
      <c r="D65" s="547"/>
      <c r="E65" s="183">
        <v>2</v>
      </c>
      <c r="F65" s="136">
        <v>2525139</v>
      </c>
      <c r="G65" s="248">
        <f>IF(ISBLANK(F65),"-",(F65/$D$50*$D$47*$B$68)*($B$57/$D$64))</f>
        <v>163.02462461045874</v>
      </c>
      <c r="H65" s="266">
        <f t="shared" si="0"/>
        <v>101.8903903815367</v>
      </c>
    </row>
    <row r="66" spans="1:8" ht="26.25" customHeight="1" x14ac:dyDescent="0.4">
      <c r="A66" s="124" t="s">
        <v>101</v>
      </c>
      <c r="B66" s="125">
        <v>1</v>
      </c>
      <c r="C66" s="544"/>
      <c r="D66" s="547"/>
      <c r="E66" s="183">
        <v>3</v>
      </c>
      <c r="F66" s="136">
        <v>2561185</v>
      </c>
      <c r="G66" s="248">
        <f>IF(ISBLANK(F66),"-",(F66/$D$50*$D$47*$B$68)*($B$57/$D$64))</f>
        <v>165.3517779349722</v>
      </c>
      <c r="H66" s="266">
        <f t="shared" si="0"/>
        <v>103.34486120935762</v>
      </c>
    </row>
    <row r="67" spans="1:8" ht="27" customHeight="1" x14ac:dyDescent="0.4">
      <c r="A67" s="124" t="s">
        <v>102</v>
      </c>
      <c r="B67" s="125">
        <v>1</v>
      </c>
      <c r="C67" s="553"/>
      <c r="D67" s="548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7">
        <f>(B67/B66)*(B65/B64)*(B63/B62)*(B61/B60)*B59</f>
        <v>5000</v>
      </c>
      <c r="C68" s="543" t="s">
        <v>104</v>
      </c>
      <c r="D68" s="546">
        <v>1079.8900000000001</v>
      </c>
      <c r="E68" s="181">
        <v>1</v>
      </c>
      <c r="F68" s="182">
        <v>2620570</v>
      </c>
      <c r="G68" s="247">
        <f>IF(ISBLANK(F68),"-",(F68/$D$50*$D$47*$B$68)*($B$57/$D$68))</f>
        <v>167.36834738154263</v>
      </c>
      <c r="H68" s="266">
        <f t="shared" si="0"/>
        <v>104.60521711346415</v>
      </c>
    </row>
    <row r="69" spans="1:8" ht="27" customHeight="1" x14ac:dyDescent="0.4">
      <c r="A69" s="171" t="s">
        <v>105</v>
      </c>
      <c r="B69" s="188">
        <f>(D47*B68)/B56*B57</f>
        <v>1077.3394999999998</v>
      </c>
      <c r="C69" s="544"/>
      <c r="D69" s="547"/>
      <c r="E69" s="183">
        <v>2</v>
      </c>
      <c r="F69" s="136">
        <v>2623779</v>
      </c>
      <c r="G69" s="248">
        <f>IF(ISBLANK(F69),"-",(F69/$D$50*$D$47*$B$68)*($B$57/$D$68))</f>
        <v>167.5732970782679</v>
      </c>
      <c r="H69" s="266">
        <f t="shared" si="0"/>
        <v>104.73331067391744</v>
      </c>
    </row>
    <row r="70" spans="1:8" ht="26.25" customHeight="1" x14ac:dyDescent="0.4">
      <c r="A70" s="549" t="s">
        <v>78</v>
      </c>
      <c r="B70" s="550"/>
      <c r="C70" s="544"/>
      <c r="D70" s="547"/>
      <c r="E70" s="183">
        <v>3</v>
      </c>
      <c r="F70" s="136">
        <v>2597126</v>
      </c>
      <c r="G70" s="248">
        <f>IF(ISBLANK(F70),"-",(F70/$D$50*$D$47*$B$68)*($B$57/$D$68))</f>
        <v>165.87104582653248</v>
      </c>
      <c r="H70" s="266">
        <f t="shared" si="0"/>
        <v>103.66940364158279</v>
      </c>
    </row>
    <row r="71" spans="1:8" ht="27" customHeight="1" x14ac:dyDescent="0.4">
      <c r="A71" s="551"/>
      <c r="B71" s="552"/>
      <c r="C71" s="545"/>
      <c r="D71" s="548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164.78308209390332</v>
      </c>
      <c r="H72" s="268">
        <f>AVERAGE(H60:H71)</f>
        <v>102.98942630868959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1.1571074361210795E-2</v>
      </c>
      <c r="H73" s="252">
        <f>STDEV(H60:H71)/H72</f>
        <v>1.1571074361210784E-2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8" t="s">
        <v>106</v>
      </c>
      <c r="B76" s="196" t="s">
        <v>107</v>
      </c>
      <c r="C76" s="530" t="str">
        <f>B26</f>
        <v>Trimethoprim</v>
      </c>
      <c r="D76" s="530"/>
      <c r="E76" s="197" t="s">
        <v>108</v>
      </c>
      <c r="F76" s="197"/>
      <c r="G76" s="284">
        <f>H72</f>
        <v>102.98942630868959</v>
      </c>
      <c r="H76" s="199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64" t="str">
        <f>B26</f>
        <v>Trimethoprim</v>
      </c>
      <c r="C79" s="564"/>
    </row>
    <row r="80" spans="1:8" ht="26.25" customHeight="1" x14ac:dyDescent="0.4">
      <c r="A80" s="109" t="s">
        <v>48</v>
      </c>
      <c r="B80" s="564" t="str">
        <f>B27</f>
        <v>T7-5</v>
      </c>
      <c r="C80" s="564"/>
    </row>
    <row r="81" spans="1:12" ht="27" customHeight="1" x14ac:dyDescent="0.4">
      <c r="A81" s="109" t="s">
        <v>6</v>
      </c>
      <c r="B81" s="200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532" t="s">
        <v>50</v>
      </c>
      <c r="D82" s="533"/>
      <c r="E82" s="533"/>
      <c r="F82" s="533"/>
      <c r="G82" s="53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35" t="s">
        <v>111</v>
      </c>
      <c r="D84" s="536"/>
      <c r="E84" s="536"/>
      <c r="F84" s="536"/>
      <c r="G84" s="536"/>
      <c r="H84" s="53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35" t="s">
        <v>112</v>
      </c>
      <c r="D85" s="536"/>
      <c r="E85" s="536"/>
      <c r="F85" s="536"/>
      <c r="G85" s="536"/>
      <c r="H85" s="53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1" t="s">
        <v>59</v>
      </c>
      <c r="E89" s="202"/>
      <c r="F89" s="538" t="s">
        <v>60</v>
      </c>
      <c r="G89" s="539"/>
    </row>
    <row r="90" spans="1:12" ht="27" customHeight="1" x14ac:dyDescent="0.4">
      <c r="A90" s="124" t="s">
        <v>61</v>
      </c>
      <c r="B90" s="125">
        <v>4</v>
      </c>
      <c r="C90" s="203" t="s">
        <v>62</v>
      </c>
      <c r="D90" s="127" t="s">
        <v>63</v>
      </c>
      <c r="E90" s="128" t="s">
        <v>64</v>
      </c>
      <c r="F90" s="127" t="s">
        <v>63</v>
      </c>
      <c r="G90" s="204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5">
        <v>1</v>
      </c>
      <c r="D91" s="477">
        <v>2778373</v>
      </c>
      <c r="E91" s="132">
        <f>IF(ISBLANK(D91),"-",$D$101/$D$98*D91)</f>
        <v>2757230.829720784</v>
      </c>
      <c r="F91" s="479">
        <v>2519748</v>
      </c>
      <c r="G91" s="133">
        <f>IF(ISBLANK(F91),"-",$D$101/$F$98*F91)</f>
        <v>2773475.9835060732</v>
      </c>
      <c r="I91" s="134"/>
    </row>
    <row r="92" spans="1:12" ht="26.25" customHeight="1" x14ac:dyDescent="0.4">
      <c r="A92" s="124" t="s">
        <v>67</v>
      </c>
      <c r="B92" s="125">
        <v>1</v>
      </c>
      <c r="C92" s="190">
        <v>2</v>
      </c>
      <c r="D92" s="478">
        <v>2823837</v>
      </c>
      <c r="E92" s="137">
        <f>IF(ISBLANK(D92),"-",$D$101/$D$98*D92)</f>
        <v>2802348.8691065777</v>
      </c>
      <c r="F92" s="480">
        <v>2528860</v>
      </c>
      <c r="G92" s="138">
        <f>IF(ISBLANK(F92),"-",$D$101/$F$98*F92)</f>
        <v>2783505.523428997</v>
      </c>
      <c r="I92" s="540">
        <f>ABS((F96/D96*D95)-F95)/D95</f>
        <v>3.3221657788246703E-3</v>
      </c>
    </row>
    <row r="93" spans="1:12" ht="26.25" customHeight="1" x14ac:dyDescent="0.4">
      <c r="A93" s="124" t="s">
        <v>68</v>
      </c>
      <c r="B93" s="125">
        <v>1</v>
      </c>
      <c r="C93" s="190">
        <v>3</v>
      </c>
      <c r="D93" s="478">
        <v>2808110</v>
      </c>
      <c r="E93" s="137">
        <f>IF(ISBLANK(D93),"-",$D$101/$D$98*D93)</f>
        <v>2786741.5445108451</v>
      </c>
      <c r="F93" s="480">
        <v>2506220</v>
      </c>
      <c r="G93" s="138">
        <f>IF(ISBLANK(F93),"-",$D$101/$F$98*F93)</f>
        <v>2758585.7710305122</v>
      </c>
      <c r="I93" s="540"/>
    </row>
    <row r="94" spans="1:12" ht="27" customHeight="1" x14ac:dyDescent="0.4">
      <c r="A94" s="124" t="s">
        <v>69</v>
      </c>
      <c r="B94" s="125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08" t="s">
        <v>71</v>
      </c>
      <c r="D95" s="209">
        <f>AVERAGE(D91:D94)</f>
        <v>2803440</v>
      </c>
      <c r="E95" s="147">
        <f>AVERAGE(E91:E94)</f>
        <v>2782107.0811127354</v>
      </c>
      <c r="F95" s="210">
        <f>AVERAGE(F91:F94)</f>
        <v>2518276</v>
      </c>
      <c r="G95" s="211">
        <f>AVERAGE(G91:G94)</f>
        <v>2771855.759321861</v>
      </c>
    </row>
    <row r="96" spans="1:12" ht="26.25" customHeight="1" x14ac:dyDescent="0.4">
      <c r="A96" s="124" t="s">
        <v>72</v>
      </c>
      <c r="B96" s="110">
        <v>1</v>
      </c>
      <c r="C96" s="212" t="s">
        <v>113</v>
      </c>
      <c r="D96" s="213">
        <v>22.46</v>
      </c>
      <c r="E96" s="139"/>
      <c r="F96" s="151">
        <v>20.25</v>
      </c>
    </row>
    <row r="97" spans="1:10" ht="26.25" customHeight="1" x14ac:dyDescent="0.4">
      <c r="A97" s="124" t="s">
        <v>74</v>
      </c>
      <c r="B97" s="110">
        <v>1</v>
      </c>
      <c r="C97" s="214" t="s">
        <v>114</v>
      </c>
      <c r="D97" s="215">
        <f>D96*$B$87</f>
        <v>22.46</v>
      </c>
      <c r="E97" s="154"/>
      <c r="F97" s="153">
        <f>F96*$B$87</f>
        <v>20.25</v>
      </c>
    </row>
    <row r="98" spans="1:10" ht="19.5" customHeight="1" x14ac:dyDescent="0.3">
      <c r="A98" s="124" t="s">
        <v>76</v>
      </c>
      <c r="B98" s="216">
        <f>(B97/B96)*(B95/B94)*(B93/B92)*(B91/B90)*B89</f>
        <v>625</v>
      </c>
      <c r="C98" s="214" t="s">
        <v>115</v>
      </c>
      <c r="D98" s="217">
        <f>D97*$B$83/100</f>
        <v>22.392620000000001</v>
      </c>
      <c r="E98" s="157"/>
      <c r="F98" s="156">
        <f>F97*$B$83/100</f>
        <v>20.189250000000001</v>
      </c>
    </row>
    <row r="99" spans="1:10" ht="19.5" customHeight="1" x14ac:dyDescent="0.3">
      <c r="A99" s="526" t="s">
        <v>78</v>
      </c>
      <c r="B99" s="541"/>
      <c r="C99" s="214" t="s">
        <v>116</v>
      </c>
      <c r="D99" s="218">
        <f>D98/$B$98</f>
        <v>3.5828192000000002E-2</v>
      </c>
      <c r="E99" s="157"/>
      <c r="F99" s="160">
        <f>F98/$B$98</f>
        <v>3.23028E-2</v>
      </c>
      <c r="G99" s="219"/>
      <c r="H99" s="149"/>
    </row>
    <row r="100" spans="1:10" ht="19.5" customHeight="1" x14ac:dyDescent="0.3">
      <c r="A100" s="528"/>
      <c r="B100" s="542"/>
      <c r="C100" s="214" t="s">
        <v>80</v>
      </c>
      <c r="D100" s="220">
        <f>$B$56/$B$116</f>
        <v>3.5555555555555556E-2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22.222222222222221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22.222222222222221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2776981.4202172984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6.2829609900289579E-3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4" t="s">
        <v>122</v>
      </c>
      <c r="B108" s="125">
        <v>4</v>
      </c>
      <c r="C108" s="274">
        <v>1</v>
      </c>
      <c r="D108" s="275">
        <v>2871759</v>
      </c>
      <c r="E108" s="249">
        <f t="shared" ref="E108:E113" si="1">IF(ISBLANK(D108),"-",D108/$D$103*$D$100*$B$116)</f>
        <v>165.46075413210565</v>
      </c>
      <c r="F108" s="276">
        <f t="shared" ref="F108:F113" si="2">IF(ISBLANK(D108), "-", (E108/$B$56)*100)</f>
        <v>103.41297133256604</v>
      </c>
    </row>
    <row r="109" spans="1:10" ht="26.25" customHeight="1" x14ac:dyDescent="0.4">
      <c r="A109" s="124" t="s">
        <v>95</v>
      </c>
      <c r="B109" s="125">
        <v>20</v>
      </c>
      <c r="C109" s="270">
        <v>2</v>
      </c>
      <c r="D109" s="272">
        <v>2853164</v>
      </c>
      <c r="E109" s="250">
        <f t="shared" si="1"/>
        <v>164.38937497978594</v>
      </c>
      <c r="F109" s="277">
        <f t="shared" si="2"/>
        <v>102.74335936236621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272">
        <v>2832427</v>
      </c>
      <c r="E110" s="250">
        <f t="shared" si="1"/>
        <v>163.19458124589758</v>
      </c>
      <c r="F110" s="277">
        <f t="shared" si="2"/>
        <v>101.99661327868598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272">
        <v>2811716</v>
      </c>
      <c r="E111" s="250">
        <f t="shared" si="1"/>
        <v>162.00128554147739</v>
      </c>
      <c r="F111" s="277">
        <f t="shared" si="2"/>
        <v>101.25080346342337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272">
        <v>2863495</v>
      </c>
      <c r="E112" s="250">
        <f t="shared" si="1"/>
        <v>164.9846112273049</v>
      </c>
      <c r="F112" s="277">
        <f t="shared" si="2"/>
        <v>103.11538201706556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273">
        <v>2791924</v>
      </c>
      <c r="E113" s="251">
        <f t="shared" si="1"/>
        <v>160.86093941710462</v>
      </c>
      <c r="F113" s="278">
        <f t="shared" si="2"/>
        <v>100.53808713569039</v>
      </c>
    </row>
    <row r="114" spans="1:10" ht="27" customHeight="1" x14ac:dyDescent="0.4">
      <c r="A114" s="124" t="s">
        <v>101</v>
      </c>
      <c r="B114" s="125">
        <v>1</v>
      </c>
      <c r="C114" s="232"/>
      <c r="D114" s="190"/>
      <c r="E114" s="98"/>
      <c r="F114" s="279"/>
    </row>
    <row r="115" spans="1:10" ht="26.25" customHeight="1" x14ac:dyDescent="0.4">
      <c r="A115" s="124" t="s">
        <v>102</v>
      </c>
      <c r="B115" s="125">
        <v>1</v>
      </c>
      <c r="C115" s="232"/>
      <c r="D115" s="256" t="s">
        <v>71</v>
      </c>
      <c r="E115" s="258">
        <f>AVERAGE(E108:E113)</f>
        <v>163.48192442394603</v>
      </c>
      <c r="F115" s="280">
        <f>AVERAGE(F108:F113)</f>
        <v>102.17620276496626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1.0990568994112502E-2</v>
      </c>
      <c r="F116" s="234">
        <f>STDEV(F108:F113)/F115</f>
        <v>1.099056899411251E-2</v>
      </c>
      <c r="I116" s="98"/>
    </row>
    <row r="117" spans="1:10" ht="27" customHeight="1" x14ac:dyDescent="0.4">
      <c r="A117" s="526" t="s">
        <v>78</v>
      </c>
      <c r="B117" s="527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8"/>
      <c r="J117" s="228"/>
    </row>
    <row r="118" spans="1:10" ht="26.25" customHeight="1" x14ac:dyDescent="0.3">
      <c r="A118" s="528"/>
      <c r="B118" s="529"/>
      <c r="C118" s="98"/>
      <c r="D118" s="259"/>
      <c r="E118" s="554" t="s">
        <v>123</v>
      </c>
      <c r="F118" s="555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160.86093941710462</v>
      </c>
      <c r="F119" s="281">
        <f>MIN(F108:F113)</f>
        <v>100.53808713569039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6" t="s">
        <v>125</v>
      </c>
      <c r="E120" s="263">
        <f>MAX(E108:E113)</f>
        <v>165.46075413210565</v>
      </c>
      <c r="F120" s="282">
        <f>MAX(F108:F113)</f>
        <v>103.41297133256604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6" t="s">
        <v>126</v>
      </c>
      <c r="C124" s="530" t="str">
        <f>B26</f>
        <v>Trimethoprim</v>
      </c>
      <c r="D124" s="530"/>
      <c r="E124" s="197" t="s">
        <v>127</v>
      </c>
      <c r="F124" s="197"/>
      <c r="G124" s="283">
        <f>F115</f>
        <v>102.17620276496626</v>
      </c>
      <c r="H124" s="98"/>
      <c r="I124" s="98"/>
    </row>
    <row r="125" spans="1:10" ht="45.75" customHeight="1" x14ac:dyDescent="0.65">
      <c r="A125" s="108"/>
      <c r="B125" s="196" t="s">
        <v>128</v>
      </c>
      <c r="C125" s="109" t="s">
        <v>129</v>
      </c>
      <c r="D125" s="283">
        <f>MIN(F108:F113)</f>
        <v>100.53808713569039</v>
      </c>
      <c r="E125" s="208" t="s">
        <v>130</v>
      </c>
      <c r="F125" s="283">
        <f>MAX(F108:F113)</f>
        <v>103.41297133256604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31" t="s">
        <v>26</v>
      </c>
      <c r="C127" s="531"/>
      <c r="E127" s="203" t="s">
        <v>27</v>
      </c>
      <c r="F127" s="238"/>
      <c r="G127" s="531" t="s">
        <v>28</v>
      </c>
      <c r="H127" s="531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4" zoomScale="50" zoomScaleNormal="50" zoomScalePageLayoutView="6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4" t="s">
        <v>45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 x14ac:dyDescent="0.25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 x14ac:dyDescent="0.25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 x14ac:dyDescent="0.25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 x14ac:dyDescent="0.25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 x14ac:dyDescent="0.25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 x14ac:dyDescent="0.25">
      <c r="A7" s="524"/>
      <c r="B7" s="524"/>
      <c r="C7" s="524"/>
      <c r="D7" s="524"/>
      <c r="E7" s="524"/>
      <c r="F7" s="524"/>
      <c r="G7" s="524"/>
      <c r="H7" s="524"/>
      <c r="I7" s="524"/>
    </row>
    <row r="8" spans="1:9" x14ac:dyDescent="0.25">
      <c r="A8" s="525" t="s">
        <v>46</v>
      </c>
      <c r="B8" s="525"/>
      <c r="C8" s="525"/>
      <c r="D8" s="525"/>
      <c r="E8" s="525"/>
      <c r="F8" s="525"/>
      <c r="G8" s="525"/>
      <c r="H8" s="525"/>
      <c r="I8" s="525"/>
    </row>
    <row r="9" spans="1:9" x14ac:dyDescent="0.25">
      <c r="A9" s="525"/>
      <c r="B9" s="525"/>
      <c r="C9" s="525"/>
      <c r="D9" s="525"/>
      <c r="E9" s="525"/>
      <c r="F9" s="525"/>
      <c r="G9" s="525"/>
      <c r="H9" s="525"/>
      <c r="I9" s="525"/>
    </row>
    <row r="10" spans="1:9" x14ac:dyDescent="0.25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 x14ac:dyDescent="0.25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 x14ac:dyDescent="0.25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 x14ac:dyDescent="0.25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 x14ac:dyDescent="0.25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x14ac:dyDescent="0.3">
      <c r="A15" s="285"/>
    </row>
    <row r="16" spans="1:9" ht="19.5" customHeight="1" x14ac:dyDescent="0.3">
      <c r="A16" s="557" t="s">
        <v>31</v>
      </c>
      <c r="B16" s="558"/>
      <c r="C16" s="558"/>
      <c r="D16" s="558"/>
      <c r="E16" s="558"/>
      <c r="F16" s="558"/>
      <c r="G16" s="558"/>
      <c r="H16" s="559"/>
    </row>
    <row r="17" spans="1:14" ht="20.25" customHeight="1" x14ac:dyDescent="0.25">
      <c r="A17" s="560" t="s">
        <v>47</v>
      </c>
      <c r="B17" s="560"/>
      <c r="C17" s="560"/>
      <c r="D17" s="560"/>
      <c r="E17" s="560"/>
      <c r="F17" s="560"/>
      <c r="G17" s="560"/>
      <c r="H17" s="560"/>
    </row>
    <row r="18" spans="1:14" ht="26.25" customHeight="1" x14ac:dyDescent="0.4">
      <c r="A18" s="287" t="s">
        <v>33</v>
      </c>
      <c r="B18" s="556" t="s">
        <v>5</v>
      </c>
      <c r="C18" s="556"/>
      <c r="D18" s="432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1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561" t="s">
        <v>132</v>
      </c>
      <c r="C20" s="561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561" t="s">
        <v>11</v>
      </c>
      <c r="C21" s="561"/>
      <c r="D21" s="561"/>
      <c r="E21" s="561"/>
      <c r="F21" s="561"/>
      <c r="G21" s="561"/>
      <c r="H21" s="561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56" t="s">
        <v>133</v>
      </c>
      <c r="C26" s="556"/>
    </row>
    <row r="27" spans="1:14" ht="26.25" customHeight="1" x14ac:dyDescent="0.4">
      <c r="A27" s="296" t="s">
        <v>48</v>
      </c>
      <c r="B27" s="562" t="s">
        <v>134</v>
      </c>
      <c r="C27" s="562"/>
    </row>
    <row r="28" spans="1:14" ht="27" customHeight="1" x14ac:dyDescent="0.4">
      <c r="A28" s="296" t="s">
        <v>6</v>
      </c>
      <c r="B28" s="297">
        <v>99.02</v>
      </c>
    </row>
    <row r="29" spans="1:14" s="14" customFormat="1" ht="27" customHeight="1" x14ac:dyDescent="0.4">
      <c r="A29" s="296" t="s">
        <v>49</v>
      </c>
      <c r="B29" s="298"/>
      <c r="C29" s="532" t="s">
        <v>50</v>
      </c>
      <c r="D29" s="533"/>
      <c r="E29" s="533"/>
      <c r="F29" s="533"/>
      <c r="G29" s="534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99.02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535" t="s">
        <v>53</v>
      </c>
      <c r="D31" s="536"/>
      <c r="E31" s="536"/>
      <c r="F31" s="536"/>
      <c r="G31" s="536"/>
      <c r="H31" s="537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535" t="s">
        <v>55</v>
      </c>
      <c r="D32" s="536"/>
      <c r="E32" s="536"/>
      <c r="F32" s="536"/>
      <c r="G32" s="536"/>
      <c r="H32" s="53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100</v>
      </c>
      <c r="C36" s="286"/>
      <c r="D36" s="538" t="s">
        <v>59</v>
      </c>
      <c r="E36" s="563"/>
      <c r="F36" s="538" t="s">
        <v>60</v>
      </c>
      <c r="G36" s="539"/>
      <c r="J36" s="299"/>
      <c r="K36" s="299"/>
      <c r="L36" s="304"/>
      <c r="M36" s="304"/>
      <c r="N36" s="305"/>
    </row>
    <row r="37" spans="1:14" s="14" customFormat="1" ht="27" customHeight="1" thickBot="1" x14ac:dyDescent="0.45">
      <c r="A37" s="311" t="s">
        <v>61</v>
      </c>
      <c r="B37" s="312">
        <v>1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</v>
      </c>
      <c r="C38" s="318">
        <v>1</v>
      </c>
      <c r="D38" s="472">
        <v>32670653</v>
      </c>
      <c r="E38" s="319">
        <f>IF(ISBLANK(D38),"-",$D$48/$D$45*D38)</f>
        <v>34346382.972124875</v>
      </c>
      <c r="F38" s="474">
        <v>35026301</v>
      </c>
      <c r="G38" s="320">
        <f>IF(ISBLANK(F38),"-",$D$48/$F$45*F38)</f>
        <v>34785943.177373044</v>
      </c>
      <c r="I38" s="321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2">
        <v>2</v>
      </c>
      <c r="D39" s="473">
        <v>33172680</v>
      </c>
      <c r="E39" s="324">
        <f>IF(ISBLANK(D39),"-",$D$48/$D$45*D39)</f>
        <v>34874159.738764554</v>
      </c>
      <c r="F39" s="475">
        <v>35089865</v>
      </c>
      <c r="G39" s="325">
        <f>IF(ISBLANK(F39),"-",$D$48/$F$45*F39)</f>
        <v>34849070.987875402</v>
      </c>
      <c r="I39" s="540">
        <f>ABS((F43/D43*D42)-F42)/D42</f>
        <v>2.9986175717153295E-3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2">
        <v>3</v>
      </c>
      <c r="D40" s="473">
        <v>32928327</v>
      </c>
      <c r="E40" s="324">
        <f>IF(ISBLANK(D40),"-",$D$48/$D$45*D40)</f>
        <v>34617273.483127497</v>
      </c>
      <c r="F40" s="475">
        <v>34735309</v>
      </c>
      <c r="G40" s="325">
        <f>IF(ISBLANK(F40),"-",$D$48/$F$45*F40)</f>
        <v>34496948.025499307</v>
      </c>
      <c r="I40" s="540"/>
      <c r="L40" s="304"/>
      <c r="M40" s="304"/>
      <c r="N40" s="326"/>
    </row>
    <row r="41" spans="1:14" ht="27" customHeight="1" thickBot="1" x14ac:dyDescent="0.45">
      <c r="A41" s="311" t="s">
        <v>69</v>
      </c>
      <c r="B41" s="312">
        <v>1</v>
      </c>
      <c r="C41" s="327">
        <v>4</v>
      </c>
      <c r="D41" s="328"/>
      <c r="E41" s="329" t="str">
        <f>IF(ISBLANK(D41),"-",$D$48/$D$45*D41)</f>
        <v>-</v>
      </c>
      <c r="F41" s="476"/>
      <c r="G41" s="330" t="str">
        <f>IF(ISBLANK(F41),"-",$D$48/$F$45*F41)</f>
        <v>-</v>
      </c>
      <c r="I41" s="331"/>
      <c r="L41" s="304"/>
      <c r="M41" s="304"/>
      <c r="N41" s="326"/>
    </row>
    <row r="42" spans="1:14" ht="27" customHeight="1" thickBot="1" x14ac:dyDescent="0.45">
      <c r="A42" s="311" t="s">
        <v>70</v>
      </c>
      <c r="B42" s="312">
        <v>1</v>
      </c>
      <c r="C42" s="332" t="s">
        <v>71</v>
      </c>
      <c r="D42" s="333">
        <f>AVERAGE(D38:D41)</f>
        <v>32923886.666666668</v>
      </c>
      <c r="E42" s="334">
        <f>AVERAGE(E38:E41)</f>
        <v>34612605.398005642</v>
      </c>
      <c r="F42" s="333">
        <f>AVERAGE(F38:F41)</f>
        <v>34950491.666666664</v>
      </c>
      <c r="G42" s="335">
        <f>AVERAGE(G38:G41)</f>
        <v>34710654.063582592</v>
      </c>
      <c r="H42" s="336"/>
    </row>
    <row r="43" spans="1:14" ht="26.25" customHeight="1" x14ac:dyDescent="0.4">
      <c r="A43" s="311" t="s">
        <v>72</v>
      </c>
      <c r="B43" s="312">
        <v>1</v>
      </c>
      <c r="C43" s="337" t="s">
        <v>73</v>
      </c>
      <c r="D43" s="338">
        <v>15.37</v>
      </c>
      <c r="E43" s="326"/>
      <c r="F43" s="338">
        <v>16.27</v>
      </c>
      <c r="H43" s="336"/>
    </row>
    <row r="44" spans="1:14" ht="26.25" customHeight="1" x14ac:dyDescent="0.4">
      <c r="A44" s="311" t="s">
        <v>74</v>
      </c>
      <c r="B44" s="312">
        <v>1</v>
      </c>
      <c r="C44" s="339" t="s">
        <v>75</v>
      </c>
      <c r="D44" s="340">
        <f>D43*$B$34</f>
        <v>15.37</v>
      </c>
      <c r="E44" s="341"/>
      <c r="F44" s="340">
        <f>F43*$B$34</f>
        <v>16.27</v>
      </c>
      <c r="H44" s="336"/>
    </row>
    <row r="45" spans="1:14" ht="19.5" customHeight="1" x14ac:dyDescent="0.3">
      <c r="A45" s="311" t="s">
        <v>76</v>
      </c>
      <c r="B45" s="342">
        <f>(B44/B43)*(B42/B41)*(B40/B39)*(B38/B37)*B36</f>
        <v>100</v>
      </c>
      <c r="C45" s="339" t="s">
        <v>77</v>
      </c>
      <c r="D45" s="343">
        <f>D44*$B$30/100</f>
        <v>15.219373999999998</v>
      </c>
      <c r="E45" s="344"/>
      <c r="F45" s="343">
        <f>F44*$B$30/100</f>
        <v>16.110554</v>
      </c>
      <c r="H45" s="336"/>
    </row>
    <row r="46" spans="1:14" ht="19.5" customHeight="1" x14ac:dyDescent="0.3">
      <c r="A46" s="526" t="s">
        <v>78</v>
      </c>
      <c r="B46" s="527"/>
      <c r="C46" s="339" t="s">
        <v>79</v>
      </c>
      <c r="D46" s="345">
        <f>D45/$B$45</f>
        <v>0.15219373999999999</v>
      </c>
      <c r="E46" s="346"/>
      <c r="F46" s="347">
        <f>F45/$B$45</f>
        <v>0.16110553999999999</v>
      </c>
      <c r="H46" s="336"/>
    </row>
    <row r="47" spans="1:14" ht="27" customHeight="1" x14ac:dyDescent="0.4">
      <c r="A47" s="528"/>
      <c r="B47" s="529"/>
      <c r="C47" s="348" t="s">
        <v>80</v>
      </c>
      <c r="D47" s="349">
        <v>0.16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16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16</v>
      </c>
      <c r="F49" s="352"/>
      <c r="H49" s="336"/>
    </row>
    <row r="50" spans="1:12" ht="18.75" x14ac:dyDescent="0.3">
      <c r="C50" s="309" t="s">
        <v>83</v>
      </c>
      <c r="D50" s="355">
        <f>AVERAGE(E38:E41,G38:G41)</f>
        <v>34661629.730794117</v>
      </c>
      <c r="F50" s="356"/>
      <c r="H50" s="336"/>
    </row>
    <row r="51" spans="1:12" ht="18.75" x14ac:dyDescent="0.3">
      <c r="C51" s="311" t="s">
        <v>84</v>
      </c>
      <c r="D51" s="357">
        <f>STDEV(E38:E41,G38:G41)/D50</f>
        <v>6.1095349484491922E-3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6" t="s">
        <v>86</v>
      </c>
      <c r="B55" s="362" t="str">
        <f>B21</f>
        <v>Each tablet contains: Sulphamethoxazole BP 800 mg and Trimethoprim BP 160 mg.</v>
      </c>
    </row>
    <row r="56" spans="1:12" ht="26.25" customHeight="1" x14ac:dyDescent="0.4">
      <c r="A56" s="363" t="s">
        <v>87</v>
      </c>
      <c r="B56" s="364">
        <v>800</v>
      </c>
      <c r="C56" s="286" t="str">
        <f>B20</f>
        <v xml:space="preserve">Sulfamethoxazole </v>
      </c>
      <c r="H56" s="365"/>
    </row>
    <row r="57" spans="1:12" ht="18.75" x14ac:dyDescent="0.3">
      <c r="A57" s="362" t="s">
        <v>88</v>
      </c>
      <c r="B57" s="433">
        <f>Uniformity!C46</f>
        <v>1077.3394999999998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6" t="s">
        <v>90</v>
      </c>
      <c r="E59" s="367" t="s">
        <v>62</v>
      </c>
      <c r="F59" s="367" t="s">
        <v>63</v>
      </c>
      <c r="G59" s="367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43" t="s">
        <v>94</v>
      </c>
      <c r="D60" s="546">
        <v>1088.74</v>
      </c>
      <c r="E60" s="368">
        <v>1</v>
      </c>
      <c r="F60" s="369">
        <v>35250690</v>
      </c>
      <c r="G60" s="434">
        <f>IF(ISBLANK(F60),"-",(F60/$D$50*$D$47*$B$68)*($B$57/$D$60))</f>
        <v>805.07628684848282</v>
      </c>
      <c r="H60" s="452">
        <f t="shared" ref="H60:H71" si="0">IF(ISBLANK(F60),"-",(G60/$B$56)*100)</f>
        <v>100.63453585606035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44"/>
      <c r="D61" s="547"/>
      <c r="E61" s="370">
        <v>2</v>
      </c>
      <c r="F61" s="323">
        <v>35321762</v>
      </c>
      <c r="G61" s="435">
        <f>IF(ISBLANK(F61),"-",(F61/$D$50*$D$47*$B$68)*($B$57/$D$60))</f>
        <v>806.69947158214029</v>
      </c>
      <c r="H61" s="453">
        <f t="shared" si="0"/>
        <v>100.83743394776754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44"/>
      <c r="D62" s="547"/>
      <c r="E62" s="370">
        <v>3</v>
      </c>
      <c r="F62" s="371">
        <v>34888223</v>
      </c>
      <c r="G62" s="435">
        <f>IF(ISBLANK(F62),"-",(F62/$D$50*$D$47*$B$68)*($B$57/$D$60))</f>
        <v>796.79804927454848</v>
      </c>
      <c r="H62" s="453">
        <f t="shared" si="0"/>
        <v>99.599756159318559</v>
      </c>
      <c r="L62" s="299"/>
    </row>
    <row r="63" spans="1:12" ht="27" customHeight="1" x14ac:dyDescent="0.4">
      <c r="A63" s="311" t="s">
        <v>97</v>
      </c>
      <c r="B63" s="312">
        <v>1</v>
      </c>
      <c r="C63" s="553"/>
      <c r="D63" s="548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43" t="s">
        <v>99</v>
      </c>
      <c r="D64" s="546">
        <v>1068.29</v>
      </c>
      <c r="E64" s="368">
        <v>1</v>
      </c>
      <c r="F64" s="369">
        <v>34166376</v>
      </c>
      <c r="G64" s="434">
        <f>IF(ISBLANK(F64),"-",(F64/$D$50*$D$47*$B$68)*($B$57/$D$64))</f>
        <v>795.24938975000498</v>
      </c>
      <c r="H64" s="452">
        <f t="shared" si="0"/>
        <v>99.406173718750622</v>
      </c>
    </row>
    <row r="65" spans="1:8" ht="26.25" customHeight="1" x14ac:dyDescent="0.4">
      <c r="A65" s="311" t="s">
        <v>100</v>
      </c>
      <c r="B65" s="312">
        <v>1</v>
      </c>
      <c r="C65" s="544"/>
      <c r="D65" s="547"/>
      <c r="E65" s="370">
        <v>2</v>
      </c>
      <c r="F65" s="323">
        <v>34242403</v>
      </c>
      <c r="G65" s="435">
        <f>IF(ISBLANK(F65),"-",(F65/$D$50*$D$47*$B$68)*($B$57/$D$64))</f>
        <v>797.0189782294658</v>
      </c>
      <c r="H65" s="453">
        <f t="shared" si="0"/>
        <v>99.627372278683225</v>
      </c>
    </row>
    <row r="66" spans="1:8" ht="26.25" customHeight="1" x14ac:dyDescent="0.4">
      <c r="A66" s="311" t="s">
        <v>101</v>
      </c>
      <c r="B66" s="312">
        <v>1</v>
      </c>
      <c r="C66" s="544"/>
      <c r="D66" s="547"/>
      <c r="E66" s="370">
        <v>3</v>
      </c>
      <c r="F66" s="323">
        <v>34623299</v>
      </c>
      <c r="G66" s="435">
        <f>IF(ISBLANK(F66),"-",(F66/$D$50*$D$47*$B$68)*($B$57/$D$64))</f>
        <v>805.88463350289055</v>
      </c>
      <c r="H66" s="453">
        <f t="shared" si="0"/>
        <v>100.73557918786132</v>
      </c>
    </row>
    <row r="67" spans="1:8" ht="27" customHeight="1" x14ac:dyDescent="0.4">
      <c r="A67" s="311" t="s">
        <v>102</v>
      </c>
      <c r="B67" s="312">
        <v>1</v>
      </c>
      <c r="C67" s="553"/>
      <c r="D67" s="548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1" t="s">
        <v>103</v>
      </c>
      <c r="B68" s="374">
        <f>(B67/B66)*(B65/B64)*(B63/B62)*(B61/B60)*B59</f>
        <v>5000</v>
      </c>
      <c r="C68" s="543" t="s">
        <v>104</v>
      </c>
      <c r="D68" s="546">
        <v>1079.8900000000001</v>
      </c>
      <c r="E68" s="368">
        <v>1</v>
      </c>
      <c r="F68" s="369">
        <v>35580950</v>
      </c>
      <c r="G68" s="434">
        <f>IF(ISBLANK(F68),"-",(F68/$D$50*$D$47*$B$68)*($B$57/$D$68))</f>
        <v>819.27860097658458</v>
      </c>
      <c r="H68" s="453">
        <f t="shared" si="0"/>
        <v>102.40982512207309</v>
      </c>
    </row>
    <row r="69" spans="1:8" ht="27" customHeight="1" x14ac:dyDescent="0.4">
      <c r="A69" s="358" t="s">
        <v>105</v>
      </c>
      <c r="B69" s="375">
        <f>(D47*B68)/B56*B57</f>
        <v>1077.3394999999998</v>
      </c>
      <c r="C69" s="544"/>
      <c r="D69" s="547"/>
      <c r="E69" s="370">
        <v>2</v>
      </c>
      <c r="F69" s="323">
        <v>35629132</v>
      </c>
      <c r="G69" s="435">
        <f>IF(ISBLANK(F69),"-",(F69/$D$50*$D$47*$B$68)*($B$57/$D$68))</f>
        <v>820.38802839637685</v>
      </c>
      <c r="H69" s="453">
        <f t="shared" si="0"/>
        <v>102.54850354954709</v>
      </c>
    </row>
    <row r="70" spans="1:8" ht="26.25" customHeight="1" x14ac:dyDescent="0.4">
      <c r="A70" s="549" t="s">
        <v>78</v>
      </c>
      <c r="B70" s="550"/>
      <c r="C70" s="544"/>
      <c r="D70" s="547"/>
      <c r="E70" s="370">
        <v>3</v>
      </c>
      <c r="F70" s="323">
        <v>35266798</v>
      </c>
      <c r="G70" s="435">
        <f>IF(ISBLANK(F70),"-",(F70/$D$50*$D$47*$B$68)*($B$57/$D$68))</f>
        <v>812.04501078143824</v>
      </c>
      <c r="H70" s="453">
        <f t="shared" si="0"/>
        <v>101.50562634767979</v>
      </c>
    </row>
    <row r="71" spans="1:8" ht="27" customHeight="1" x14ac:dyDescent="0.4">
      <c r="A71" s="551"/>
      <c r="B71" s="552"/>
      <c r="C71" s="545"/>
      <c r="D71" s="548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806.49316103799265</v>
      </c>
      <c r="H72" s="455">
        <f>AVERAGE(H60:H71)</f>
        <v>100.81164512974908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1.1598175615264782E-2</v>
      </c>
      <c r="H73" s="439">
        <f>STDEV(H60:H71)/H72</f>
        <v>1.1598175615264791E-2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5" t="s">
        <v>106</v>
      </c>
      <c r="B76" s="383" t="s">
        <v>107</v>
      </c>
      <c r="C76" s="530" t="str">
        <f>B26</f>
        <v>Sulfamethoxazole</v>
      </c>
      <c r="D76" s="530"/>
      <c r="E76" s="384" t="s">
        <v>108</v>
      </c>
      <c r="F76" s="384"/>
      <c r="G76" s="471">
        <f>H72</f>
        <v>100.81164512974908</v>
      </c>
      <c r="H76" s="386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64" t="str">
        <f>B26</f>
        <v>Sulfamethoxazole</v>
      </c>
      <c r="C79" s="564"/>
    </row>
    <row r="80" spans="1:8" ht="26.25" customHeight="1" x14ac:dyDescent="0.4">
      <c r="A80" s="296" t="s">
        <v>48</v>
      </c>
      <c r="B80" s="564" t="str">
        <f>B27</f>
        <v>S12-6</v>
      </c>
      <c r="C80" s="564"/>
    </row>
    <row r="81" spans="1:12" ht="27" customHeight="1" x14ac:dyDescent="0.4">
      <c r="A81" s="296" t="s">
        <v>6</v>
      </c>
      <c r="B81" s="387">
        <f>B28</f>
        <v>99.02</v>
      </c>
    </row>
    <row r="82" spans="1:12" s="14" customFormat="1" ht="27" customHeight="1" x14ac:dyDescent="0.4">
      <c r="A82" s="296" t="s">
        <v>49</v>
      </c>
      <c r="B82" s="298">
        <v>0</v>
      </c>
      <c r="C82" s="532" t="s">
        <v>50</v>
      </c>
      <c r="D82" s="533"/>
      <c r="E82" s="533"/>
      <c r="F82" s="533"/>
      <c r="G82" s="534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99.02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535" t="s">
        <v>111</v>
      </c>
      <c r="D84" s="536"/>
      <c r="E84" s="536"/>
      <c r="F84" s="536"/>
      <c r="G84" s="536"/>
      <c r="H84" s="537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535" t="s">
        <v>112</v>
      </c>
      <c r="D85" s="536"/>
      <c r="E85" s="536"/>
      <c r="F85" s="536"/>
      <c r="G85" s="536"/>
      <c r="H85" s="53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100</v>
      </c>
      <c r="D89" s="388" t="s">
        <v>59</v>
      </c>
      <c r="E89" s="389"/>
      <c r="F89" s="538" t="s">
        <v>60</v>
      </c>
      <c r="G89" s="539"/>
    </row>
    <row r="90" spans="1:12" ht="27" customHeight="1" x14ac:dyDescent="0.4">
      <c r="A90" s="311" t="s">
        <v>61</v>
      </c>
      <c r="B90" s="312">
        <v>1</v>
      </c>
      <c r="C90" s="390" t="s">
        <v>62</v>
      </c>
      <c r="D90" s="314" t="s">
        <v>63</v>
      </c>
      <c r="E90" s="315" t="s">
        <v>64</v>
      </c>
      <c r="F90" s="314" t="s">
        <v>63</v>
      </c>
      <c r="G90" s="391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2">
        <v>1</v>
      </c>
      <c r="D91" s="472">
        <v>32670653</v>
      </c>
      <c r="E91" s="319">
        <f>IF(ISBLANK(D91),"-",$D$101/$D$98*D91)</f>
        <v>38162647.746805422</v>
      </c>
      <c r="F91" s="474">
        <v>35026301</v>
      </c>
      <c r="G91" s="320">
        <f>IF(ISBLANK(F91),"-",$D$101/$F$98*F91)</f>
        <v>38651047.97485894</v>
      </c>
      <c r="I91" s="321"/>
    </row>
    <row r="92" spans="1:12" ht="26.25" customHeight="1" x14ac:dyDescent="0.4">
      <c r="A92" s="311" t="s">
        <v>67</v>
      </c>
      <c r="B92" s="312">
        <v>1</v>
      </c>
      <c r="C92" s="377">
        <v>2</v>
      </c>
      <c r="D92" s="473">
        <v>33172680</v>
      </c>
      <c r="E92" s="324">
        <f>IF(ISBLANK(D92),"-",$D$101/$D$98*D92)</f>
        <v>38749066.376405068</v>
      </c>
      <c r="F92" s="475">
        <v>35089865</v>
      </c>
      <c r="G92" s="325">
        <f>IF(ISBLANK(F92),"-",$D$101/$F$98*F92)</f>
        <v>38721189.986528225</v>
      </c>
      <c r="I92" s="540">
        <f>ABS((F96/D96*D95)-F95)/D95</f>
        <v>2.9986175717153295E-3</v>
      </c>
    </row>
    <row r="93" spans="1:12" ht="26.25" customHeight="1" x14ac:dyDescent="0.4">
      <c r="A93" s="311" t="s">
        <v>68</v>
      </c>
      <c r="B93" s="312">
        <v>1</v>
      </c>
      <c r="C93" s="377">
        <v>3</v>
      </c>
      <c r="D93" s="473">
        <v>32928327</v>
      </c>
      <c r="E93" s="324">
        <f>IF(ISBLANK(D93),"-",$D$101/$D$98*D93)</f>
        <v>38463637.203474998</v>
      </c>
      <c r="F93" s="475">
        <v>34735309</v>
      </c>
      <c r="G93" s="325">
        <f>IF(ISBLANK(F93),"-",$D$101/$F$98*F93)</f>
        <v>38329942.250554793</v>
      </c>
      <c r="I93" s="540"/>
    </row>
    <row r="94" spans="1:12" ht="27" customHeight="1" x14ac:dyDescent="0.4">
      <c r="A94" s="311" t="s">
        <v>69</v>
      </c>
      <c r="B94" s="312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1" t="s">
        <v>70</v>
      </c>
      <c r="B95" s="312">
        <v>1</v>
      </c>
      <c r="C95" s="395" t="s">
        <v>71</v>
      </c>
      <c r="D95" s="396">
        <f>AVERAGE(D91:D94)</f>
        <v>32923886.666666668</v>
      </c>
      <c r="E95" s="334">
        <f>AVERAGE(E91:E94)</f>
        <v>38458450.442228496</v>
      </c>
      <c r="F95" s="397">
        <f>AVERAGE(F91:F94)</f>
        <v>34950491.666666664</v>
      </c>
      <c r="G95" s="398">
        <f>AVERAGE(G91:G94)</f>
        <v>38567393.40398065</v>
      </c>
    </row>
    <row r="96" spans="1:12" ht="26.25" customHeight="1" x14ac:dyDescent="0.4">
      <c r="A96" s="311" t="s">
        <v>72</v>
      </c>
      <c r="B96" s="297">
        <v>1</v>
      </c>
      <c r="C96" s="399" t="s">
        <v>113</v>
      </c>
      <c r="D96" s="400">
        <v>15.37</v>
      </c>
      <c r="E96" s="326"/>
      <c r="F96" s="338">
        <v>16.27</v>
      </c>
    </row>
    <row r="97" spans="1:10" ht="26.25" customHeight="1" x14ac:dyDescent="0.4">
      <c r="A97" s="311" t="s">
        <v>74</v>
      </c>
      <c r="B97" s="297">
        <v>1</v>
      </c>
      <c r="C97" s="401" t="s">
        <v>114</v>
      </c>
      <c r="D97" s="402">
        <f>D96*$B$87</f>
        <v>15.37</v>
      </c>
      <c r="E97" s="341"/>
      <c r="F97" s="340">
        <f>F96*$B$87</f>
        <v>16.27</v>
      </c>
    </row>
    <row r="98" spans="1:10" ht="19.5" customHeight="1" x14ac:dyDescent="0.3">
      <c r="A98" s="311" t="s">
        <v>76</v>
      </c>
      <c r="B98" s="403">
        <f>(B97/B96)*(B95/B94)*(B93/B92)*(B91/B90)*B89</f>
        <v>100</v>
      </c>
      <c r="C98" s="401" t="s">
        <v>115</v>
      </c>
      <c r="D98" s="404">
        <f>D97*$B$83/100</f>
        <v>15.219373999999998</v>
      </c>
      <c r="E98" s="344"/>
      <c r="F98" s="343">
        <f>F97*$B$83/100</f>
        <v>16.110554</v>
      </c>
    </row>
    <row r="99" spans="1:10" ht="19.5" customHeight="1" x14ac:dyDescent="0.3">
      <c r="A99" s="526" t="s">
        <v>78</v>
      </c>
      <c r="B99" s="541"/>
      <c r="C99" s="401" t="s">
        <v>116</v>
      </c>
      <c r="D99" s="405">
        <f>D98/$B$98</f>
        <v>0.15219373999999999</v>
      </c>
      <c r="E99" s="344"/>
      <c r="F99" s="347">
        <f>F98/$B$98</f>
        <v>0.16110553999999999</v>
      </c>
      <c r="G99" s="406"/>
      <c r="H99" s="336"/>
    </row>
    <row r="100" spans="1:10" ht="19.5" customHeight="1" x14ac:dyDescent="0.3">
      <c r="A100" s="528"/>
      <c r="B100" s="542"/>
      <c r="C100" s="401" t="s">
        <v>80</v>
      </c>
      <c r="D100" s="407">
        <f>$B$56/$B$116</f>
        <v>0.17777777777777778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17.777777777777779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17.777777777777779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38512921.923104577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6.1095349484491628E-3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9" t="s">
        <v>118</v>
      </c>
      <c r="B107" s="310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1" t="s">
        <v>122</v>
      </c>
      <c r="B108" s="312">
        <v>4</v>
      </c>
      <c r="C108" s="461">
        <v>1</v>
      </c>
      <c r="D108" s="462">
        <v>38499934</v>
      </c>
      <c r="E108" s="436">
        <f t="shared" ref="E108:E113" si="1">IF(ISBLANK(D108),"-",D108/$D$103*$D$100*$B$116)</f>
        <v>799.7302116285955</v>
      </c>
      <c r="F108" s="463">
        <f t="shared" ref="F108:F113" si="2">IF(ISBLANK(D108), "-", (E108/$B$56)*100)</f>
        <v>99.966276453574437</v>
      </c>
    </row>
    <row r="109" spans="1:10" ht="26.25" customHeight="1" x14ac:dyDescent="0.4">
      <c r="A109" s="311" t="s">
        <v>95</v>
      </c>
      <c r="B109" s="312">
        <v>20</v>
      </c>
      <c r="C109" s="457">
        <v>2</v>
      </c>
      <c r="D109" s="459">
        <v>38262330</v>
      </c>
      <c r="E109" s="437">
        <f t="shared" si="1"/>
        <v>794.79464220128705</v>
      </c>
      <c r="F109" s="464">
        <f t="shared" si="2"/>
        <v>99.349330275160881</v>
      </c>
    </row>
    <row r="110" spans="1:10" ht="26.25" customHeight="1" x14ac:dyDescent="0.4">
      <c r="A110" s="311" t="s">
        <v>96</v>
      </c>
      <c r="B110" s="312">
        <v>1</v>
      </c>
      <c r="C110" s="457">
        <v>3</v>
      </c>
      <c r="D110" s="459">
        <v>37911258</v>
      </c>
      <c r="E110" s="437">
        <f t="shared" si="1"/>
        <v>787.50208723594915</v>
      </c>
      <c r="F110" s="464">
        <f t="shared" si="2"/>
        <v>98.437760904493643</v>
      </c>
    </row>
    <row r="111" spans="1:10" ht="26.25" customHeight="1" x14ac:dyDescent="0.4">
      <c r="A111" s="311" t="s">
        <v>97</v>
      </c>
      <c r="B111" s="312">
        <v>1</v>
      </c>
      <c r="C111" s="457">
        <v>4</v>
      </c>
      <c r="D111" s="459">
        <v>37624876</v>
      </c>
      <c r="E111" s="437">
        <f t="shared" si="1"/>
        <v>781.55328905186343</v>
      </c>
      <c r="F111" s="464">
        <f t="shared" si="2"/>
        <v>97.694161131482929</v>
      </c>
    </row>
    <row r="112" spans="1:10" ht="26.25" customHeight="1" x14ac:dyDescent="0.4">
      <c r="A112" s="311" t="s">
        <v>98</v>
      </c>
      <c r="B112" s="312">
        <v>1</v>
      </c>
      <c r="C112" s="457">
        <v>5</v>
      </c>
      <c r="D112" s="459">
        <v>38372497</v>
      </c>
      <c r="E112" s="437">
        <f t="shared" si="1"/>
        <v>797.08305854570165</v>
      </c>
      <c r="F112" s="464">
        <f t="shared" si="2"/>
        <v>99.635382318212706</v>
      </c>
    </row>
    <row r="113" spans="1:10" ht="27" customHeight="1" x14ac:dyDescent="0.4">
      <c r="A113" s="311" t="s">
        <v>100</v>
      </c>
      <c r="B113" s="312">
        <v>1</v>
      </c>
      <c r="C113" s="458">
        <v>6</v>
      </c>
      <c r="D113" s="460">
        <v>37348192</v>
      </c>
      <c r="E113" s="438">
        <f t="shared" si="1"/>
        <v>775.80594013759651</v>
      </c>
      <c r="F113" s="465">
        <f t="shared" si="2"/>
        <v>96.975742517199564</v>
      </c>
    </row>
    <row r="114" spans="1:10" ht="27" customHeight="1" x14ac:dyDescent="0.4">
      <c r="A114" s="311" t="s">
        <v>101</v>
      </c>
      <c r="B114" s="312">
        <v>1</v>
      </c>
      <c r="C114" s="419"/>
      <c r="D114" s="377"/>
      <c r="E114" s="285"/>
      <c r="F114" s="466"/>
    </row>
    <row r="115" spans="1:10" ht="26.25" customHeight="1" x14ac:dyDescent="0.4">
      <c r="A115" s="311" t="s">
        <v>102</v>
      </c>
      <c r="B115" s="312">
        <v>1</v>
      </c>
      <c r="C115" s="419"/>
      <c r="D115" s="443" t="s">
        <v>71</v>
      </c>
      <c r="E115" s="445">
        <f>AVERAGE(E108:E113)</f>
        <v>789.41153813349877</v>
      </c>
      <c r="F115" s="467">
        <f>AVERAGE(F108:F113)</f>
        <v>98.676442266687346</v>
      </c>
    </row>
    <row r="116" spans="1:10" ht="27" customHeight="1" x14ac:dyDescent="0.4">
      <c r="A116" s="311" t="s">
        <v>103</v>
      </c>
      <c r="B116" s="342">
        <f>(B115/B114)*(B113/B112)*(B111/B110)*(B109/B108)*B107</f>
        <v>4500</v>
      </c>
      <c r="C116" s="420"/>
      <c r="D116" s="444" t="s">
        <v>84</v>
      </c>
      <c r="E116" s="442">
        <f>STDEV(E108:E113)/E115</f>
        <v>1.1948171639398261E-2</v>
      </c>
      <c r="F116" s="421">
        <f>STDEV(F108:F113)/F115</f>
        <v>1.1948171639398261E-2</v>
      </c>
      <c r="I116" s="285"/>
    </row>
    <row r="117" spans="1:10" ht="27" customHeight="1" x14ac:dyDescent="0.4">
      <c r="A117" s="526" t="s">
        <v>78</v>
      </c>
      <c r="B117" s="527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5"/>
      <c r="J117" s="415"/>
    </row>
    <row r="118" spans="1:10" ht="26.25" customHeight="1" x14ac:dyDescent="0.3">
      <c r="A118" s="528"/>
      <c r="B118" s="529"/>
      <c r="C118" s="285"/>
      <c r="D118" s="446"/>
      <c r="E118" s="554" t="s">
        <v>123</v>
      </c>
      <c r="F118" s="555"/>
      <c r="G118" s="285"/>
      <c r="H118" s="285"/>
      <c r="I118" s="285"/>
    </row>
    <row r="119" spans="1:10" ht="25.5" customHeight="1" x14ac:dyDescent="0.4">
      <c r="A119" s="431"/>
      <c r="B119" s="307"/>
      <c r="C119" s="285"/>
      <c r="D119" s="444" t="s">
        <v>124</v>
      </c>
      <c r="E119" s="449">
        <f>MIN(E108:E113)</f>
        <v>775.80594013759651</v>
      </c>
      <c r="F119" s="468">
        <f>MIN(F108:F113)</f>
        <v>96.975742517199564</v>
      </c>
      <c r="G119" s="285"/>
      <c r="H119" s="285"/>
      <c r="I119" s="285"/>
    </row>
    <row r="120" spans="1:10" ht="24" customHeight="1" x14ac:dyDescent="0.4">
      <c r="A120" s="431"/>
      <c r="B120" s="307"/>
      <c r="C120" s="285"/>
      <c r="D120" s="353" t="s">
        <v>125</v>
      </c>
      <c r="E120" s="450">
        <f>MAX(E108:E113)</f>
        <v>799.7302116285955</v>
      </c>
      <c r="F120" s="469">
        <f>MAX(F108:F113)</f>
        <v>99.966276453574437</v>
      </c>
      <c r="G120" s="285"/>
      <c r="H120" s="285"/>
      <c r="I120" s="285"/>
    </row>
    <row r="121" spans="1:10" ht="27" customHeight="1" x14ac:dyDescent="0.3">
      <c r="A121" s="431"/>
      <c r="B121" s="307"/>
      <c r="C121" s="285"/>
      <c r="D121" s="285"/>
      <c r="E121" s="285"/>
      <c r="F121" s="377"/>
      <c r="G121" s="285"/>
      <c r="H121" s="285"/>
      <c r="I121" s="285"/>
    </row>
    <row r="122" spans="1:10" ht="25.5" customHeight="1" x14ac:dyDescent="0.3">
      <c r="A122" s="431"/>
      <c r="B122" s="307"/>
      <c r="C122" s="285"/>
      <c r="D122" s="285"/>
      <c r="E122" s="285"/>
      <c r="F122" s="377"/>
      <c r="G122" s="285"/>
      <c r="H122" s="285"/>
      <c r="I122" s="285"/>
    </row>
    <row r="123" spans="1:10" ht="18.75" x14ac:dyDescent="0.3">
      <c r="A123" s="431"/>
      <c r="B123" s="307"/>
      <c r="C123" s="285"/>
      <c r="D123" s="285"/>
      <c r="E123" s="285"/>
      <c r="F123" s="377"/>
      <c r="G123" s="285"/>
      <c r="H123" s="285"/>
      <c r="I123" s="285"/>
    </row>
    <row r="124" spans="1:10" ht="45.75" customHeight="1" x14ac:dyDescent="0.65">
      <c r="A124" s="295" t="s">
        <v>106</v>
      </c>
      <c r="B124" s="383" t="s">
        <v>126</v>
      </c>
      <c r="C124" s="530" t="str">
        <f>B26</f>
        <v>Sulfamethoxazole</v>
      </c>
      <c r="D124" s="530"/>
      <c r="E124" s="384" t="s">
        <v>127</v>
      </c>
      <c r="F124" s="384"/>
      <c r="G124" s="470">
        <f>F115</f>
        <v>98.676442266687346</v>
      </c>
      <c r="H124" s="285"/>
      <c r="I124" s="285"/>
    </row>
    <row r="125" spans="1:10" ht="45.75" customHeight="1" x14ac:dyDescent="0.65">
      <c r="A125" s="295"/>
      <c r="B125" s="383" t="s">
        <v>128</v>
      </c>
      <c r="C125" s="296" t="s">
        <v>129</v>
      </c>
      <c r="D125" s="470">
        <f>MIN(F108:F113)</f>
        <v>96.975742517199564</v>
      </c>
      <c r="E125" s="395" t="s">
        <v>130</v>
      </c>
      <c r="F125" s="470">
        <f>MAX(F108:F113)</f>
        <v>99.966276453574437</v>
      </c>
      <c r="G125" s="385"/>
      <c r="H125" s="285"/>
      <c r="I125" s="285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531" t="s">
        <v>26</v>
      </c>
      <c r="C127" s="531"/>
      <c r="E127" s="390" t="s">
        <v>27</v>
      </c>
      <c r="F127" s="425"/>
      <c r="G127" s="531" t="s">
        <v>28</v>
      </c>
      <c r="H127" s="531"/>
    </row>
    <row r="128" spans="1:10" ht="69.95" customHeight="1" x14ac:dyDescent="0.3">
      <c r="A128" s="426" t="s">
        <v>29</v>
      </c>
      <c r="B128" s="427"/>
      <c r="C128" s="427"/>
      <c r="E128" s="427"/>
      <c r="F128" s="285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5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5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5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5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5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5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5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5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5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29" zoomScale="60" zoomScaleNormal="60" workbookViewId="0">
      <selection activeCell="D34" sqref="D34"/>
    </sheetView>
  </sheetViews>
  <sheetFormatPr defaultRowHeight="13.5" x14ac:dyDescent="0.25"/>
  <cols>
    <col min="1" max="1" width="27.5703125" style="406" customWidth="1"/>
    <col min="2" max="2" width="25.42578125" style="406" customWidth="1"/>
    <col min="3" max="3" width="31.85546875" style="406" customWidth="1"/>
    <col min="4" max="4" width="25.85546875" style="406" customWidth="1"/>
    <col min="5" max="5" width="29.7109375" style="406" customWidth="1"/>
    <col min="6" max="6" width="43.710937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90" t="s">
        <v>1</v>
      </c>
      <c r="B16" s="59" t="s">
        <v>2</v>
      </c>
    </row>
    <row r="17" spans="1:7" ht="16.5" customHeight="1" x14ac:dyDescent="0.3">
      <c r="A17" s="8" t="s">
        <v>3</v>
      </c>
      <c r="B17" s="8" t="s">
        <v>5</v>
      </c>
      <c r="C17" s="72"/>
      <c r="D17" s="9"/>
      <c r="E17" s="72"/>
    </row>
    <row r="18" spans="1:7" ht="16.5" customHeight="1" x14ac:dyDescent="0.3">
      <c r="A18" s="75" t="s">
        <v>4</v>
      </c>
      <c r="B18" s="12" t="s">
        <v>133</v>
      </c>
      <c r="C18" s="72"/>
      <c r="D18" s="72"/>
      <c r="E18" s="72"/>
    </row>
    <row r="19" spans="1:7" ht="16.5" customHeight="1" x14ac:dyDescent="0.3">
      <c r="A19" s="75" t="s">
        <v>6</v>
      </c>
      <c r="B19" s="12">
        <v>99.02</v>
      </c>
      <c r="C19" s="72"/>
      <c r="D19" s="72"/>
      <c r="E19" s="72"/>
    </row>
    <row r="20" spans="1:7" ht="16.5" customHeight="1" x14ac:dyDescent="0.3">
      <c r="A20" s="8" t="s">
        <v>8</v>
      </c>
      <c r="B20" s="12">
        <v>15.37</v>
      </c>
      <c r="C20" s="72"/>
      <c r="D20" s="72"/>
      <c r="E20" s="72"/>
    </row>
    <row r="21" spans="1:7" ht="16.5" customHeight="1" x14ac:dyDescent="0.3">
      <c r="A21" s="8" t="s">
        <v>10</v>
      </c>
      <c r="B21" s="13">
        <f>15.37/100</f>
        <v>0.1537</v>
      </c>
      <c r="C21" s="72"/>
      <c r="D21" s="72"/>
      <c r="E21" s="72"/>
    </row>
    <row r="22" spans="1:7" ht="15.75" customHeight="1" thickBot="1" x14ac:dyDescent="0.3">
      <c r="A22" s="72"/>
      <c r="B22" s="72" t="s">
        <v>136</v>
      </c>
      <c r="C22" s="72"/>
      <c r="D22" s="72"/>
      <c r="E22" s="72"/>
    </row>
    <row r="23" spans="1:7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5" t="s">
        <v>17</v>
      </c>
      <c r="F23" s="492" t="s">
        <v>139</v>
      </c>
      <c r="G23" s="488" t="s">
        <v>138</v>
      </c>
    </row>
    <row r="24" spans="1:7" ht="16.5" customHeight="1" x14ac:dyDescent="0.3">
      <c r="A24" s="17">
        <v>1</v>
      </c>
      <c r="B24" s="18">
        <v>32450596</v>
      </c>
      <c r="C24" s="18">
        <v>8130.5</v>
      </c>
      <c r="D24" s="19">
        <v>0.9</v>
      </c>
      <c r="E24" s="483">
        <v>10.7</v>
      </c>
      <c r="F24" s="493">
        <v>2.0249999999999999</v>
      </c>
      <c r="G24" s="489">
        <v>14.6</v>
      </c>
    </row>
    <row r="25" spans="1:7" ht="16.5" customHeight="1" x14ac:dyDescent="0.3">
      <c r="A25" s="17">
        <v>2</v>
      </c>
      <c r="B25" s="18">
        <v>32275133</v>
      </c>
      <c r="C25" s="18">
        <v>8076</v>
      </c>
      <c r="D25" s="19">
        <v>0.9</v>
      </c>
      <c r="E25" s="484">
        <v>10.7</v>
      </c>
      <c r="F25" s="493">
        <v>2.0249999999999999</v>
      </c>
      <c r="G25" s="489">
        <v>14.6</v>
      </c>
    </row>
    <row r="26" spans="1:7" ht="16.5" customHeight="1" x14ac:dyDescent="0.3">
      <c r="A26" s="17">
        <v>3</v>
      </c>
      <c r="B26" s="18">
        <v>32402152</v>
      </c>
      <c r="C26" s="18">
        <v>7973.2</v>
      </c>
      <c r="D26" s="19">
        <v>0.9</v>
      </c>
      <c r="E26" s="484">
        <v>10.7</v>
      </c>
      <c r="F26" s="493">
        <v>2.024</v>
      </c>
      <c r="G26" s="489">
        <v>14.5</v>
      </c>
    </row>
    <row r="27" spans="1:7" ht="16.5" customHeight="1" x14ac:dyDescent="0.3">
      <c r="A27" s="17">
        <v>4</v>
      </c>
      <c r="B27" s="18">
        <v>32339671</v>
      </c>
      <c r="C27" s="18">
        <v>7899.5</v>
      </c>
      <c r="D27" s="19">
        <v>0.9</v>
      </c>
      <c r="E27" s="484">
        <v>10.7</v>
      </c>
      <c r="F27" s="493">
        <v>2.0230000000000001</v>
      </c>
      <c r="G27" s="489">
        <v>14.4</v>
      </c>
    </row>
    <row r="28" spans="1:7" ht="16.5" customHeight="1" x14ac:dyDescent="0.3">
      <c r="A28" s="17">
        <v>5</v>
      </c>
      <c r="B28" s="18">
        <v>32549456</v>
      </c>
      <c r="C28" s="18">
        <v>7844.1</v>
      </c>
      <c r="D28" s="19">
        <v>0.9</v>
      </c>
      <c r="E28" s="484">
        <v>10.7</v>
      </c>
      <c r="F28" s="493">
        <v>2.0230000000000001</v>
      </c>
      <c r="G28" s="489">
        <v>14.4</v>
      </c>
    </row>
    <row r="29" spans="1:7" ht="16.5" customHeight="1" thickBot="1" x14ac:dyDescent="0.35">
      <c r="A29" s="17">
        <v>6</v>
      </c>
      <c r="B29" s="21">
        <v>32628580</v>
      </c>
      <c r="C29" s="21">
        <v>7776.3</v>
      </c>
      <c r="D29" s="22">
        <v>0.9</v>
      </c>
      <c r="E29" s="485">
        <v>10.7</v>
      </c>
      <c r="F29" s="493">
        <v>2.024</v>
      </c>
      <c r="G29" s="489">
        <v>14.3</v>
      </c>
    </row>
    <row r="30" spans="1:7" ht="16.5" customHeight="1" thickBot="1" x14ac:dyDescent="0.35">
      <c r="A30" s="23" t="s">
        <v>18</v>
      </c>
      <c r="B30" s="24">
        <f t="shared" ref="B30:G30" si="0">AVERAGE(B24:B29)</f>
        <v>32440931.333333332</v>
      </c>
      <c r="C30" s="25">
        <f t="shared" si="0"/>
        <v>7949.9333333333343</v>
      </c>
      <c r="D30" s="26">
        <f t="shared" si="0"/>
        <v>0.9</v>
      </c>
      <c r="E30" s="486">
        <f t="shared" si="0"/>
        <v>10.700000000000001</v>
      </c>
      <c r="F30" s="497">
        <f t="shared" si="0"/>
        <v>2.0239999999999996</v>
      </c>
      <c r="G30" s="508">
        <f t="shared" si="0"/>
        <v>14.466666666666667</v>
      </c>
    </row>
    <row r="31" spans="1:7" ht="16.5" customHeight="1" x14ac:dyDescent="0.3">
      <c r="A31" s="27" t="s">
        <v>19</v>
      </c>
      <c r="B31" s="28">
        <f>(STDEV(B24:B29)/B30)</f>
        <v>4.0504341345161624E-3</v>
      </c>
      <c r="C31" s="29"/>
      <c r="D31" s="29"/>
      <c r="E31" s="487"/>
      <c r="F31" s="494"/>
      <c r="G31" s="490"/>
    </row>
    <row r="32" spans="1:7" s="406" customFormat="1" ht="16.5" customHeight="1" thickBot="1" x14ac:dyDescent="0.35">
      <c r="A32" s="31" t="s">
        <v>20</v>
      </c>
      <c r="B32" s="32">
        <f>COUNT(B24:B29)</f>
        <v>6</v>
      </c>
      <c r="C32" s="33"/>
      <c r="D32" s="73"/>
      <c r="E32" s="73"/>
      <c r="F32" s="495"/>
      <c r="G32" s="491"/>
    </row>
    <row r="33" spans="1:7" s="406" customFormat="1" ht="15.75" customHeight="1" x14ac:dyDescent="0.25">
      <c r="A33" s="72"/>
      <c r="B33" s="72"/>
      <c r="C33" s="72"/>
      <c r="D33" s="72"/>
      <c r="E33" s="72"/>
    </row>
    <row r="34" spans="1:7" s="40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7" ht="16.5" customHeight="1" x14ac:dyDescent="0.3">
      <c r="A35" s="75"/>
      <c r="B35" s="40" t="s">
        <v>23</v>
      </c>
      <c r="C35" s="39"/>
      <c r="D35" s="39"/>
      <c r="E35" s="39"/>
    </row>
    <row r="36" spans="1:7" ht="16.5" customHeight="1" x14ac:dyDescent="0.3">
      <c r="A36" s="75"/>
      <c r="B36" s="40" t="s">
        <v>24</v>
      </c>
      <c r="C36" s="39"/>
      <c r="D36" s="39"/>
      <c r="E36" s="39"/>
    </row>
    <row r="37" spans="1:7" ht="16.5" customHeight="1" x14ac:dyDescent="0.3">
      <c r="A37" s="75"/>
      <c r="B37" s="507" t="s">
        <v>144</v>
      </c>
      <c r="C37" s="39"/>
      <c r="D37" s="39"/>
      <c r="E37" s="39"/>
    </row>
    <row r="38" spans="1:7" ht="15.75" customHeight="1" x14ac:dyDescent="0.25">
      <c r="A38" s="72"/>
      <c r="B38" s="506" t="s">
        <v>142</v>
      </c>
      <c r="C38" s="72"/>
      <c r="D38" s="72"/>
      <c r="E38" s="72"/>
    </row>
    <row r="39" spans="1:7" ht="16.5" customHeight="1" x14ac:dyDescent="0.3">
      <c r="A39" s="90" t="s">
        <v>1</v>
      </c>
      <c r="B39" s="59" t="s">
        <v>25</v>
      </c>
    </row>
    <row r="40" spans="1:7" ht="16.5" customHeight="1" x14ac:dyDescent="0.3">
      <c r="A40" s="75" t="s">
        <v>4</v>
      </c>
      <c r="B40" s="8" t="s">
        <v>133</v>
      </c>
      <c r="C40" s="72"/>
      <c r="D40" s="72"/>
      <c r="E40" s="72"/>
    </row>
    <row r="41" spans="1:7" ht="16.5" customHeight="1" x14ac:dyDescent="0.3">
      <c r="A41" s="75" t="s">
        <v>6</v>
      </c>
      <c r="B41" s="12">
        <v>99.02</v>
      </c>
      <c r="C41" s="72"/>
      <c r="D41" s="72"/>
      <c r="E41" s="72"/>
    </row>
    <row r="42" spans="1:7" ht="16.5" customHeight="1" x14ac:dyDescent="0.3">
      <c r="A42" s="8" t="s">
        <v>8</v>
      </c>
      <c r="B42" s="12">
        <v>15.37</v>
      </c>
      <c r="C42" s="72"/>
      <c r="D42" s="72"/>
      <c r="E42" s="72"/>
    </row>
    <row r="43" spans="1:7" ht="16.5" customHeight="1" x14ac:dyDescent="0.3">
      <c r="A43" s="8" t="s">
        <v>10</v>
      </c>
      <c r="B43" s="13">
        <v>0.1537</v>
      </c>
      <c r="C43" s="72"/>
      <c r="D43" s="72"/>
      <c r="E43" s="72"/>
    </row>
    <row r="44" spans="1:7" ht="15.75" customHeight="1" thickBot="1" x14ac:dyDescent="0.3">
      <c r="A44" s="72"/>
      <c r="B44" s="72"/>
      <c r="C44" s="72"/>
      <c r="D44" s="72"/>
      <c r="E44" s="72"/>
    </row>
    <row r="45" spans="1:7" ht="16.5" customHeight="1" thickBot="1" x14ac:dyDescent="0.35">
      <c r="A45" s="16" t="s">
        <v>13</v>
      </c>
      <c r="B45" s="15" t="s">
        <v>14</v>
      </c>
      <c r="C45" s="16" t="s">
        <v>15</v>
      </c>
      <c r="D45" s="16" t="s">
        <v>16</v>
      </c>
      <c r="E45" s="15" t="s">
        <v>17</v>
      </c>
      <c r="F45" s="496" t="s">
        <v>139</v>
      </c>
      <c r="G45" s="500" t="s">
        <v>138</v>
      </c>
    </row>
    <row r="46" spans="1:7" ht="16.5" customHeight="1" x14ac:dyDescent="0.3">
      <c r="A46" s="17">
        <v>1</v>
      </c>
      <c r="B46" s="18">
        <v>32450596</v>
      </c>
      <c r="C46" s="18">
        <v>8130.5</v>
      </c>
      <c r="D46" s="19">
        <v>0.9</v>
      </c>
      <c r="E46" s="483">
        <v>10.7</v>
      </c>
      <c r="F46" s="498">
        <v>2.0249999999999999</v>
      </c>
      <c r="G46" s="501">
        <v>14.6</v>
      </c>
    </row>
    <row r="47" spans="1:7" ht="16.5" customHeight="1" x14ac:dyDescent="0.3">
      <c r="A47" s="17">
        <v>2</v>
      </c>
      <c r="B47" s="18">
        <v>32275133</v>
      </c>
      <c r="C47" s="18">
        <v>8076</v>
      </c>
      <c r="D47" s="19">
        <v>0.9</v>
      </c>
      <c r="E47" s="484">
        <v>10.7</v>
      </c>
      <c r="F47" s="498">
        <v>2.0249999999999999</v>
      </c>
      <c r="G47" s="501">
        <v>14.6</v>
      </c>
    </row>
    <row r="48" spans="1:7" ht="16.5" customHeight="1" x14ac:dyDescent="0.3">
      <c r="A48" s="17">
        <v>3</v>
      </c>
      <c r="B48" s="18">
        <v>32402152</v>
      </c>
      <c r="C48" s="18">
        <v>7973.2</v>
      </c>
      <c r="D48" s="19">
        <v>0.9</v>
      </c>
      <c r="E48" s="484">
        <v>10.7</v>
      </c>
      <c r="F48" s="498">
        <v>2.024</v>
      </c>
      <c r="G48" s="501">
        <v>14.5</v>
      </c>
    </row>
    <row r="49" spans="1:7" ht="16.5" customHeight="1" x14ac:dyDescent="0.3">
      <c r="A49" s="17">
        <v>4</v>
      </c>
      <c r="B49" s="18">
        <v>32339671</v>
      </c>
      <c r="C49" s="18">
        <v>7899.5</v>
      </c>
      <c r="D49" s="19">
        <v>0.9</v>
      </c>
      <c r="E49" s="484">
        <v>10.7</v>
      </c>
      <c r="F49" s="498">
        <v>2.0230000000000001</v>
      </c>
      <c r="G49" s="501">
        <v>14.4</v>
      </c>
    </row>
    <row r="50" spans="1:7" ht="16.5" customHeight="1" x14ac:dyDescent="0.3">
      <c r="A50" s="17">
        <v>5</v>
      </c>
      <c r="B50" s="18">
        <v>32549456</v>
      </c>
      <c r="C50" s="18">
        <v>7844.1</v>
      </c>
      <c r="D50" s="19">
        <v>0.9</v>
      </c>
      <c r="E50" s="484">
        <v>10.7</v>
      </c>
      <c r="F50" s="498">
        <v>2.0230000000000001</v>
      </c>
      <c r="G50" s="501">
        <v>14.4</v>
      </c>
    </row>
    <row r="51" spans="1:7" ht="16.5" customHeight="1" x14ac:dyDescent="0.3">
      <c r="A51" s="17">
        <v>6</v>
      </c>
      <c r="B51" s="21">
        <v>32628580</v>
      </c>
      <c r="C51" s="21">
        <v>7776.3</v>
      </c>
      <c r="D51" s="22">
        <v>0.9</v>
      </c>
      <c r="E51" s="485">
        <v>10.7</v>
      </c>
      <c r="F51" s="498">
        <v>2.024</v>
      </c>
      <c r="G51" s="501">
        <v>14.3</v>
      </c>
    </row>
    <row r="52" spans="1:7" ht="16.5" customHeight="1" x14ac:dyDescent="0.3">
      <c r="A52" s="23" t="s">
        <v>18</v>
      </c>
      <c r="B52" s="24">
        <v>32440931.333333332</v>
      </c>
      <c r="C52" s="25">
        <v>7949.9333333333343</v>
      </c>
      <c r="D52" s="26">
        <v>0.9</v>
      </c>
      <c r="E52" s="486">
        <v>10.700000000000001</v>
      </c>
      <c r="F52" s="499">
        <v>2.0239999999999996</v>
      </c>
      <c r="G52" s="502">
        <v>14.466666666666667</v>
      </c>
    </row>
    <row r="53" spans="1:7" ht="16.5" customHeight="1" x14ac:dyDescent="0.3">
      <c r="A53" s="27" t="s">
        <v>19</v>
      </c>
      <c r="B53" s="28">
        <v>4.0504341345161624E-3</v>
      </c>
      <c r="C53" s="29"/>
      <c r="D53" s="29"/>
      <c r="E53" s="487"/>
      <c r="F53" s="494"/>
      <c r="G53" s="503"/>
    </row>
    <row r="54" spans="1:7" s="406" customFormat="1" ht="16.5" customHeight="1" thickBot="1" x14ac:dyDescent="0.35">
      <c r="A54" s="31" t="s">
        <v>20</v>
      </c>
      <c r="B54" s="32">
        <v>6</v>
      </c>
      <c r="C54" s="33"/>
      <c r="D54" s="73"/>
      <c r="E54" s="73"/>
      <c r="F54" s="495"/>
      <c r="G54" s="504"/>
    </row>
    <row r="55" spans="1:7" s="406" customFormat="1" ht="15.75" customHeight="1" x14ac:dyDescent="0.25">
      <c r="A55" s="72"/>
      <c r="B55" s="72"/>
      <c r="C55" s="72"/>
      <c r="D55" s="72"/>
      <c r="E55" s="72"/>
    </row>
    <row r="56" spans="1:7" s="406" customFormat="1" ht="16.5" customHeight="1" x14ac:dyDescent="0.3">
      <c r="A56" s="75" t="s">
        <v>21</v>
      </c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6.5" customHeight="1" x14ac:dyDescent="0.3">
      <c r="A58" s="75"/>
      <c r="B58" s="40" t="s">
        <v>24</v>
      </c>
      <c r="C58" s="39"/>
      <c r="D58" s="39"/>
      <c r="E58" s="39"/>
    </row>
    <row r="59" spans="1:7" ht="14.25" customHeight="1" thickBot="1" x14ac:dyDescent="0.3">
      <c r="A59" s="41"/>
      <c r="B59" s="336"/>
      <c r="D59" s="43"/>
      <c r="F59" s="44"/>
      <c r="G59" s="44"/>
    </row>
    <row r="60" spans="1:7" ht="15" customHeight="1" x14ac:dyDescent="0.3">
      <c r="B60" s="515" t="s">
        <v>26</v>
      </c>
      <c r="C60" s="515"/>
      <c r="E60" s="45" t="s">
        <v>27</v>
      </c>
      <c r="F60" s="46"/>
      <c r="G60" s="45" t="s">
        <v>28</v>
      </c>
    </row>
    <row r="61" spans="1:7" ht="15" customHeight="1" x14ac:dyDescent="0.3">
      <c r="A61" s="47" t="s">
        <v>29</v>
      </c>
      <c r="B61" s="505" t="s">
        <v>140</v>
      </c>
      <c r="C61" s="49"/>
      <c r="E61" s="505" t="s">
        <v>141</v>
      </c>
      <c r="G61" s="49"/>
    </row>
    <row r="62" spans="1:7" ht="15" customHeight="1" x14ac:dyDescent="0.3">
      <c r="A62" s="47" t="s">
        <v>30</v>
      </c>
      <c r="B62" s="50"/>
      <c r="C62" s="50"/>
      <c r="E62" s="50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 TRIM SST</vt:lpstr>
      <vt:lpstr>Uniformity</vt:lpstr>
      <vt:lpstr>trimethoprim</vt:lpstr>
      <vt:lpstr>sulfamethoxazole</vt:lpstr>
      <vt:lpstr>SULFS SST</vt:lpstr>
      <vt:lpstr>' TRIM SST'!Print_Area</vt:lpstr>
      <vt:lpstr>sulfamethoxazole!Print_Area</vt:lpstr>
      <vt:lpstr>'SULFS SST'!Print_Area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2018-04-03T09:13:43Z</cp:lastPrinted>
  <dcterms:created xsi:type="dcterms:W3CDTF">2005-07-05T10:19:27Z</dcterms:created>
  <dcterms:modified xsi:type="dcterms:W3CDTF">2018-04-03T09:28:04Z</dcterms:modified>
</cp:coreProperties>
</file>