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620" activeTab="1"/>
  </bookViews>
  <sheets>
    <sheet name=" TRIM SST" sheetId="6" r:id="rId1"/>
    <sheet name="SULFS SST" sheetId="7" r:id="rId2"/>
    <sheet name="Uniformity" sheetId="2" r:id="rId3"/>
    <sheet name="trimethoprim" sheetId="3" r:id="rId4"/>
    <sheet name="sulfamethoxazole" sheetId="4" r:id="rId5"/>
  </sheets>
  <definedNames>
    <definedName name="_xlnm.Print_Area" localSheetId="0">' TRIM SST'!$A$15:$G$62</definedName>
    <definedName name="_xlnm.Print_Area" localSheetId="4">sulfamethoxazole!$A$1:$I$130</definedName>
    <definedName name="_xlnm.Print_Area" localSheetId="1">'SULFS SST'!$A$15:$G$64</definedName>
    <definedName name="_xlnm.Print_Area" localSheetId="3">trimethoprim!$A$1:$I$130</definedName>
    <definedName name="_xlnm.Print_Area" localSheetId="2">Uniformity!$A$11:$F$55</definedName>
  </definedNames>
  <calcPr calcId="145621"/>
</workbook>
</file>

<file path=xl/calcChain.xml><?xml version="1.0" encoding="utf-8"?>
<calcChain xmlns="http://schemas.openxmlformats.org/spreadsheetml/2006/main">
  <c r="B32" i="7" l="1"/>
  <c r="B31" i="7"/>
  <c r="G30" i="7"/>
  <c r="F30" i="7"/>
  <c r="E30" i="7"/>
  <c r="D30" i="7"/>
  <c r="C30" i="7"/>
  <c r="B30" i="7"/>
  <c r="B21" i="7"/>
  <c r="B32" i="6"/>
  <c r="F30" i="6"/>
  <c r="E30" i="6"/>
  <c r="D30" i="6"/>
  <c r="C30" i="6"/>
  <c r="B30" i="6"/>
  <c r="B31" i="6" s="1"/>
  <c r="B21" i="6"/>
  <c r="C124" i="4" l="1"/>
  <c r="B116" i="4"/>
  <c r="D100" i="4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B57" i="4" s="1"/>
  <c r="C45" i="2"/>
  <c r="D40" i="2"/>
  <c r="D36" i="2"/>
  <c r="D32" i="2"/>
  <c r="D28" i="2"/>
  <c r="D25" i="2"/>
  <c r="D24" i="2"/>
  <c r="C19" i="2"/>
  <c r="I92" i="3" l="1"/>
  <c r="I39" i="4"/>
  <c r="D101" i="4"/>
  <c r="D102" i="4" s="1"/>
  <c r="I92" i="4"/>
  <c r="F97" i="4"/>
  <c r="F98" i="4" s="1"/>
  <c r="D49" i="4"/>
  <c r="F45" i="4"/>
  <c r="F46" i="4" s="1"/>
  <c r="D98" i="4"/>
  <c r="D99" i="4" s="1"/>
  <c r="D45" i="4"/>
  <c r="E38" i="4" s="1"/>
  <c r="D101" i="3"/>
  <c r="D97" i="3"/>
  <c r="D98" i="3" s="1"/>
  <c r="D99" i="3" s="1"/>
  <c r="B69" i="3"/>
  <c r="I39" i="3"/>
  <c r="D45" i="3"/>
  <c r="D46" i="3" s="1"/>
  <c r="D102" i="3"/>
  <c r="E39" i="4"/>
  <c r="B69" i="4"/>
  <c r="D49" i="3"/>
  <c r="E38" i="3"/>
  <c r="F98" i="3"/>
  <c r="F99" i="3" s="1"/>
  <c r="D27" i="2"/>
  <c r="D31" i="2"/>
  <c r="D35" i="2"/>
  <c r="D39" i="2"/>
  <c r="D43" i="2"/>
  <c r="C49" i="2"/>
  <c r="F44" i="3"/>
  <c r="F45" i="3" s="1"/>
  <c r="F46" i="3" s="1"/>
  <c r="D29" i="2"/>
  <c r="D33" i="2"/>
  <c r="D37" i="2"/>
  <c r="D41" i="2"/>
  <c r="C50" i="2"/>
  <c r="D26" i="2"/>
  <c r="D30" i="2"/>
  <c r="D34" i="2"/>
  <c r="D38" i="2"/>
  <c r="D42" i="2"/>
  <c r="B49" i="2"/>
  <c r="D50" i="2"/>
  <c r="E92" i="3" l="1"/>
  <c r="F99" i="4"/>
  <c r="G93" i="4"/>
  <c r="E93" i="4"/>
  <c r="E94" i="4"/>
  <c r="E92" i="4"/>
  <c r="E91" i="4"/>
  <c r="G41" i="4"/>
  <c r="G38" i="4"/>
  <c r="G39" i="4"/>
  <c r="G40" i="4"/>
  <c r="E40" i="4"/>
  <c r="D46" i="4"/>
  <c r="E41" i="4"/>
  <c r="G91" i="4"/>
  <c r="G94" i="4"/>
  <c r="G92" i="4"/>
  <c r="E94" i="3"/>
  <c r="E93" i="3"/>
  <c r="E91" i="3"/>
  <c r="E41" i="3"/>
  <c r="E39" i="3"/>
  <c r="G93" i="3"/>
  <c r="G41" i="3"/>
  <c r="G94" i="3"/>
  <c r="G38" i="3"/>
  <c r="G40" i="3"/>
  <c r="E40" i="3"/>
  <c r="G39" i="3"/>
  <c r="G92" i="3"/>
  <c r="G91" i="3"/>
  <c r="G42" i="4" l="1"/>
  <c r="D50" i="4"/>
  <c r="E95" i="4"/>
  <c r="D105" i="4"/>
  <c r="D52" i="4"/>
  <c r="E42" i="4"/>
  <c r="G95" i="4"/>
  <c r="D103" i="4"/>
  <c r="E111" i="4" s="1"/>
  <c r="F111" i="4" s="1"/>
  <c r="E95" i="3"/>
  <c r="D103" i="3"/>
  <c r="E110" i="3" s="1"/>
  <c r="F110" i="3" s="1"/>
  <c r="D50" i="3"/>
  <c r="G71" i="3" s="1"/>
  <c r="H71" i="3" s="1"/>
  <c r="E42" i="3"/>
  <c r="G95" i="3"/>
  <c r="D105" i="3"/>
  <c r="D52" i="3"/>
  <c r="G42" i="3"/>
  <c r="G63" i="3"/>
  <c r="H63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3" l="1"/>
  <c r="H70" i="3" s="1"/>
  <c r="G68" i="3"/>
  <c r="H68" i="3" s="1"/>
  <c r="E112" i="3"/>
  <c r="F112" i="3" s="1"/>
  <c r="D104" i="4"/>
  <c r="E112" i="4"/>
  <c r="F112" i="4" s="1"/>
  <c r="E113" i="4"/>
  <c r="F113" i="4" s="1"/>
  <c r="E108" i="4"/>
  <c r="E109" i="4"/>
  <c r="F109" i="4" s="1"/>
  <c r="E110" i="4"/>
  <c r="F110" i="4" s="1"/>
  <c r="D104" i="3"/>
  <c r="E111" i="3"/>
  <c r="F111" i="3" s="1"/>
  <c r="E113" i="3"/>
  <c r="F113" i="3" s="1"/>
  <c r="E108" i="3"/>
  <c r="E109" i="3"/>
  <c r="F109" i="3" s="1"/>
  <c r="G60" i="3"/>
  <c r="G64" i="3"/>
  <c r="H64" i="3" s="1"/>
  <c r="G65" i="3"/>
  <c r="H65" i="3" s="1"/>
  <c r="G66" i="3"/>
  <c r="H66" i="3" s="1"/>
  <c r="G61" i="3"/>
  <c r="H61" i="3" s="1"/>
  <c r="D51" i="3"/>
  <c r="G69" i="3"/>
  <c r="H69" i="3" s="1"/>
  <c r="G67" i="3"/>
  <c r="H67" i="3" s="1"/>
  <c r="G62" i="3"/>
  <c r="H62" i="3" s="1"/>
  <c r="G74" i="4"/>
  <c r="G72" i="4"/>
  <c r="G73" i="4" s="1"/>
  <c r="H60" i="4"/>
  <c r="H60" i="3"/>
  <c r="E115" i="4" l="1"/>
  <c r="E116" i="4" s="1"/>
  <c r="F108" i="4"/>
  <c r="D125" i="4" s="1"/>
  <c r="E117" i="4"/>
  <c r="E119" i="4"/>
  <c r="E120" i="4"/>
  <c r="E119" i="3"/>
  <c r="F108" i="3"/>
  <c r="F119" i="3" s="1"/>
  <c r="E115" i="3"/>
  <c r="E116" i="3" s="1"/>
  <c r="E117" i="3"/>
  <c r="E120" i="3"/>
  <c r="G72" i="3"/>
  <c r="G73" i="3" s="1"/>
  <c r="G74" i="3"/>
  <c r="H74" i="3"/>
  <c r="H72" i="3"/>
  <c r="H74" i="4"/>
  <c r="H72" i="4"/>
  <c r="F119" i="4" l="1"/>
  <c r="F117" i="4"/>
  <c r="F120" i="4"/>
  <c r="F115" i="4"/>
  <c r="G124" i="4" s="1"/>
  <c r="F125" i="4"/>
  <c r="F117" i="3"/>
  <c r="F120" i="3"/>
  <c r="F115" i="3"/>
  <c r="G124" i="3" s="1"/>
  <c r="F125" i="3"/>
  <c r="D125" i="3"/>
  <c r="G76" i="4"/>
  <c r="H73" i="4"/>
  <c r="G76" i="3"/>
  <c r="H73" i="3"/>
  <c r="F116" i="4" l="1"/>
  <c r="F116" i="3"/>
</calcChain>
</file>

<file path=xl/sharedStrings.xml><?xml version="1.0" encoding="utf-8"?>
<sst xmlns="http://schemas.openxmlformats.org/spreadsheetml/2006/main" count="467" uniqueCount="146">
  <si>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</si>
  <si>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</si>
  <si>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</si>
  <si>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</si>
  <si>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</si>
  <si>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</si>
  <si>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</si>
  <si>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NDQB201803342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</si>
  <si>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</si>
  <si>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</si>
  <si>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</si>
  <si>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</si>
  <si>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2018-03-13 14:06:42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</si>
  <si>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</si>
  <si>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</si>
  <si>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</si>
  <si>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</si>
  <si>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</si>
  <si>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</si>
  <si>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</si>
  <si>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</si>
  <si>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</si>
  <si>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</si>
  <si>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</si>
  <si>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</si>
  <si>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</si>
  <si>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</si>
  <si>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</si>
  <si>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</si>
  <si>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</si>
  <si>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</si>
  <si>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</si>
  <si>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</si>
  <si>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</si>
  <si>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</si>
  <si>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</si>
  <si>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</si>
  <si>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</si>
  <si>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</si>
  <si>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</si>
  <si>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</si>
  <si>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</si>
  <si>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</si>
  <si>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</si>
  <si>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</si>
  <si>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</si>
  <si>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</si>
  <si>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</si>
  <si>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</si>
  <si>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</si>
  <si>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</si>
  <si>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</si>
  <si>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</si>
  <si>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</si>
  <si>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</si>
  <si>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</si>
  <si>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</si>
  <si>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</si>
  <si>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</si>
  <si>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</si>
  <si>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</si>
  <si>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</si>
  <si>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</si>
  <si>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</si>
  <si>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</si>
  <si>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</si>
  <si>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</si>
  <si>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</si>
  <si>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</si>
  <si>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</si>
  <si>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</si>
  <si>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</si>
  <si>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</si>
  <si>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</si>
  <si>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</si>
  <si>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</si>
  <si>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</si>
  <si>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</si>
  <si>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</si>
  <si>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</si>
  <si>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</si>
  <si>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</si>
  <si>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</si>
  <si>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</si>
  <si>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</si>
  <si>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</si>
  <si>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</si>
  <si>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</si>
  <si>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</si>
  <si>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</si>
  <si>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</si>
  <si>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</si>
  <si>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</si>
  <si>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</si>
  <si>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</si>
  <si>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</si>
  <si>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</si>
  <si>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</si>
  <si>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</si>
  <si>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</si>
  <si>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</si>
  <si>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</si>
  <si>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</si>
  <si>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</si>
  <si>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</si>
  <si>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</si>
  <si>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</si>
  <si>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</si>
  <si>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</si>
  <si>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</si>
  <si>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</si>
  <si>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</si>
  <si>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</si>
  <si>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</si>
  <si>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</si>
  <si>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</si>
  <si>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</si>
  <si>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</si>
  <si>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</si>
  <si>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</si>
  <si>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</si>
  <si>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</si>
  <si>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</si>
  <si>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</si>
  <si>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</si>
  <si>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</si>
  <si>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</si>
  <si>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</si>
  <si>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</si>
  <si>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</si>
  <si>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</si>
  <si>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Each tablet contains: Trimethoprim BP 160 mg.</t>
  </si>
  <si>
    <t>Trimethoprim</t>
  </si>
  <si>
    <t>T7-5</t>
  </si>
  <si>
    <t>Sulfamethoxazole</t>
  </si>
  <si>
    <t>S12-6</t>
  </si>
  <si>
    <t>Relative Retention time</t>
  </si>
  <si>
    <t>2018-03-13 14:03:39</t>
  </si>
  <si>
    <t xml:space="preserve">The RRT for Trimethoprim and Sulfamethoxazole are 1.0 </t>
  </si>
  <si>
    <t>sarah</t>
  </si>
  <si>
    <t>26-03-2017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</si>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</sst>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3" fillId="3" borderId="29" xfId="4" applyFont="1" applyFill="1" applyBorder="1" applyAlignment="1" applyProtection="1">
      <alignment horizontal="center"/>
      <protection locked="0"/>
    </xf>
    <xf numFmtId="0" fontId="13" fillId="3" borderId="23" xfId="4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2" fontId="5" fillId="8" borderId="57" xfId="1" applyNumberFormat="1" applyFont="1" applyFill="1" applyBorder="1" applyAlignment="1">
      <alignment horizontal="center"/>
    </xf>
    <xf numFmtId="2" fontId="2" fillId="9" borderId="58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59" xfId="1" applyFont="1" applyFill="1" applyBorder="1"/>
    <xf numFmtId="2" fontId="7" fillId="3" borderId="26" xfId="1" applyNumberFormat="1" applyFont="1" applyFill="1" applyBorder="1" applyAlignment="1" applyProtection="1">
      <alignment horizontal="center"/>
      <protection locked="0"/>
    </xf>
    <xf numFmtId="0" fontId="2" fillId="10" borderId="60" xfId="1" applyFont="1" applyFill="1" applyBorder="1" applyAlignment="1">
      <alignment horizontal="center"/>
    </xf>
    <xf numFmtId="2" fontId="7" fillId="3" borderId="31" xfId="1" applyNumberFormat="1" applyFont="1" applyFill="1" applyBorder="1" applyAlignment="1" applyProtection="1">
      <alignment horizontal="center"/>
      <protection locked="0"/>
    </xf>
    <xf numFmtId="0" fontId="2" fillId="10" borderId="61" xfId="1" applyFont="1" applyFill="1" applyBorder="1" applyAlignment="1">
      <alignment horizontal="center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0" fontId="2" fillId="10" borderId="62" xfId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9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2" borderId="63" xfId="1" applyFont="1" applyFill="1" applyBorder="1" applyAlignment="1">
      <alignment horizontal="center"/>
    </xf>
    <xf numFmtId="0" fontId="5" fillId="2" borderId="64" xfId="1" applyFont="1" applyFill="1" applyBorder="1" applyAlignment="1">
      <alignment horizontal="center"/>
    </xf>
    <xf numFmtId="2" fontId="7" fillId="3" borderId="61" xfId="1" applyNumberFormat="1" applyFont="1" applyFill="1" applyBorder="1" applyAlignment="1" applyProtection="1">
      <alignment horizontal="center"/>
      <protection locked="0"/>
    </xf>
    <xf numFmtId="2" fontId="7" fillId="3" borderId="65" xfId="1" applyNumberFormat="1" applyFont="1" applyFill="1" applyBorder="1" applyAlignment="1" applyProtection="1">
      <alignment horizontal="center"/>
      <protection locked="0"/>
    </xf>
    <xf numFmtId="2" fontId="2" fillId="9" borderId="59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61" xfId="1" applyFont="1" applyFill="1" applyBorder="1"/>
    <xf numFmtId="0" fontId="2" fillId="2" borderId="65" xfId="1" applyFont="1" applyFill="1" applyBorder="1"/>
    <xf numFmtId="0" fontId="2" fillId="2" borderId="62" xfId="1" applyFont="1" applyFill="1" applyBorder="1"/>
    <xf numFmtId="0" fontId="2" fillId="2" borderId="66" xfId="1" applyFont="1" applyFill="1" applyBorder="1"/>
    <xf numFmtId="0" fontId="1" fillId="2" borderId="59" xfId="1" applyFont="1" applyFill="1" applyBorder="1"/>
    <xf numFmtId="0" fontId="1" fillId="10" borderId="61" xfId="1" applyFont="1" applyFill="1" applyBorder="1" applyAlignment="1">
      <alignment horizontal="center"/>
    </xf>
    <xf numFmtId="0" fontId="2" fillId="9" borderId="61" xfId="1" applyFont="1" applyFill="1" applyBorder="1" applyAlignment="1">
      <alignment horizontal="center"/>
    </xf>
    <xf numFmtId="0" fontId="1" fillId="9" borderId="61" xfId="1" applyFont="1" applyFill="1" applyBorder="1" applyAlignment="1">
      <alignment horizontal="center"/>
    </xf>
    <xf numFmtId="0" fontId="1" fillId="2" borderId="61" xfId="1" applyFont="1" applyFill="1" applyBorder="1"/>
    <xf numFmtId="0" fontId="1" fillId="2" borderId="62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8">
    <cellStyle name="Normal" xfId="0" builtinId="0"/>
    <cellStyle name="Normal 2" xfId="5"/>
    <cellStyle name="Normal 3" xfId="1"/>
    <cellStyle name="Normal 4" xfId="2"/>
    <cellStyle name="Normal 5" xfId="6"/>
    <cellStyle name="Normal 6" xfId="3"/>
    <cellStyle name="Normal 7" xfId="7"/>
    <cellStyle name="Normal 8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zoomScale="70" zoomScaleNormal="70" workbookViewId="0">
      <selection activeCell="B39" sqref="B39:B42"/>
    </sheetView>
  </sheetViews>
  <sheetFormatPr defaultRowHeight="13.5" x14ac:dyDescent="0.25"/>
  <cols>
    <col min="1" max="1" width="27.5703125" style="433" customWidth="1"/>
    <col min="2" max="2" width="20.42578125" style="433" customWidth="1"/>
    <col min="3" max="3" width="31.85546875" style="433" customWidth="1"/>
    <col min="4" max="4" width="25.85546875" style="433" customWidth="1"/>
    <col min="5" max="5" width="25.7109375" style="433" customWidth="1"/>
    <col min="6" max="6" width="23.140625" style="433" customWidth="1"/>
    <col min="7" max="7" width="28.42578125" style="433" customWidth="1"/>
    <col min="8" max="8" width="21.5703125" style="433" customWidth="1"/>
    <col min="9" max="9" width="9.140625" style="433" customWidth="1"/>
    <col min="10" max="16384" width="9.140625" style="482"/>
  </cols>
  <sheetData>
    <row r="14" spans="1:6" ht="15" customHeight="1" x14ac:dyDescent="0.3">
      <c r="A14" s="432"/>
      <c r="C14" s="434"/>
      <c r="F14" s="434"/>
    </row>
    <row r="15" spans="1:6" ht="18.75" customHeight="1" x14ac:dyDescent="0.3">
      <c r="A15" s="505" t="s">
        <v>0</v>
      </c>
      <c r="B15" s="505"/>
      <c r="C15" s="505"/>
      <c r="D15" s="505"/>
      <c r="E15" s="505"/>
    </row>
    <row r="16" spans="1:6" ht="16.5" customHeight="1" x14ac:dyDescent="0.3">
      <c r="A16" s="435" t="s">
        <v>1</v>
      </c>
      <c r="B16" s="436" t="s">
        <v>2</v>
      </c>
    </row>
    <row r="17" spans="1:6" ht="16.5" customHeight="1" x14ac:dyDescent="0.3">
      <c r="A17" s="437" t="s">
        <v>3</v>
      </c>
      <c r="B17" s="437" t="s">
        <v>5</v>
      </c>
      <c r="C17" s="438"/>
      <c r="D17" s="439"/>
      <c r="E17" s="438"/>
    </row>
    <row r="18" spans="1:6" ht="16.5" customHeight="1" x14ac:dyDescent="0.3">
      <c r="A18" s="440" t="s">
        <v>4</v>
      </c>
      <c r="B18" s="441" t="s">
        <v>132</v>
      </c>
      <c r="C18" s="438"/>
      <c r="D18" s="438"/>
      <c r="E18" s="438"/>
    </row>
    <row r="19" spans="1:6" ht="16.5" customHeight="1" x14ac:dyDescent="0.3">
      <c r="A19" s="440" t="s">
        <v>6</v>
      </c>
      <c r="B19" s="441">
        <v>99.7</v>
      </c>
      <c r="C19" s="438"/>
      <c r="D19" s="438"/>
      <c r="E19" s="438"/>
    </row>
    <row r="20" spans="1:6" ht="16.5" customHeight="1" x14ac:dyDescent="0.3">
      <c r="A20" s="437" t="s">
        <v>8</v>
      </c>
      <c r="B20" s="441">
        <v>22.46</v>
      </c>
      <c r="C20" s="438"/>
      <c r="D20" s="438"/>
      <c r="E20" s="438"/>
    </row>
    <row r="21" spans="1:6" ht="16.5" customHeight="1" x14ac:dyDescent="0.3">
      <c r="A21" s="437" t="s">
        <v>10</v>
      </c>
      <c r="B21" s="442">
        <f>22.46/25*4/100</f>
        <v>3.5936000000000003E-2</v>
      </c>
      <c r="C21" s="438"/>
      <c r="D21" s="438"/>
      <c r="E21" s="438"/>
    </row>
    <row r="22" spans="1:6" ht="15.75" customHeight="1" x14ac:dyDescent="0.25">
      <c r="A22" s="438"/>
      <c r="B22" s="438" t="s">
        <v>137</v>
      </c>
      <c r="C22" s="438"/>
      <c r="D22" s="438"/>
      <c r="E22" s="438"/>
    </row>
    <row r="23" spans="1:6" ht="16.5" customHeight="1" x14ac:dyDescent="0.3">
      <c r="A23" s="443" t="s">
        <v>13</v>
      </c>
      <c r="B23" s="444" t="s">
        <v>14</v>
      </c>
      <c r="C23" s="443" t="s">
        <v>15</v>
      </c>
      <c r="D23" s="443" t="s">
        <v>16</v>
      </c>
      <c r="E23" s="443" t="s">
        <v>17</v>
      </c>
      <c r="F23" s="445" t="s">
        <v>136</v>
      </c>
    </row>
    <row r="24" spans="1:6" ht="16.5" customHeight="1" x14ac:dyDescent="0.3">
      <c r="A24" s="446">
        <v>1</v>
      </c>
      <c r="B24" s="447">
        <v>2757576</v>
      </c>
      <c r="C24" s="447">
        <v>6277.5</v>
      </c>
      <c r="D24" s="448">
        <v>1.2</v>
      </c>
      <c r="E24" s="449">
        <v>5.3</v>
      </c>
      <c r="F24" s="450">
        <v>1</v>
      </c>
    </row>
    <row r="25" spans="1:6" ht="16.5" customHeight="1" x14ac:dyDescent="0.3">
      <c r="A25" s="446">
        <v>2</v>
      </c>
      <c r="B25" s="447">
        <v>2743969</v>
      </c>
      <c r="C25" s="447">
        <v>6230.1</v>
      </c>
      <c r="D25" s="448">
        <v>1.2</v>
      </c>
      <c r="E25" s="448">
        <v>5.3</v>
      </c>
      <c r="F25" s="450">
        <v>1</v>
      </c>
    </row>
    <row r="26" spans="1:6" ht="16.5" customHeight="1" x14ac:dyDescent="0.3">
      <c r="A26" s="446">
        <v>3</v>
      </c>
      <c r="B26" s="447">
        <v>2754234</v>
      </c>
      <c r="C26" s="447">
        <v>6159.3</v>
      </c>
      <c r="D26" s="448">
        <v>1.2</v>
      </c>
      <c r="E26" s="448">
        <v>5.3</v>
      </c>
      <c r="F26" s="450">
        <v>1</v>
      </c>
    </row>
    <row r="27" spans="1:6" ht="16.5" customHeight="1" x14ac:dyDescent="0.3">
      <c r="A27" s="446">
        <v>4</v>
      </c>
      <c r="B27" s="447">
        <v>2747200</v>
      </c>
      <c r="C27" s="447">
        <v>6174.5</v>
      </c>
      <c r="D27" s="448">
        <v>1.2</v>
      </c>
      <c r="E27" s="448">
        <v>5.3</v>
      </c>
      <c r="F27" s="450">
        <v>1</v>
      </c>
    </row>
    <row r="28" spans="1:6" ht="16.5" customHeight="1" x14ac:dyDescent="0.3">
      <c r="A28" s="446">
        <v>5</v>
      </c>
      <c r="B28" s="447">
        <v>2766594</v>
      </c>
      <c r="C28" s="447">
        <v>6109.6</v>
      </c>
      <c r="D28" s="448">
        <v>1.2</v>
      </c>
      <c r="E28" s="448">
        <v>5.3</v>
      </c>
      <c r="F28" s="450">
        <v>1</v>
      </c>
    </row>
    <row r="29" spans="1:6" ht="16.5" customHeight="1" thickBot="1" x14ac:dyDescent="0.35">
      <c r="A29" s="446">
        <v>6</v>
      </c>
      <c r="B29" s="451">
        <v>2772034</v>
      </c>
      <c r="C29" s="451">
        <v>6114.7</v>
      </c>
      <c r="D29" s="452">
        <v>1.2</v>
      </c>
      <c r="E29" s="448">
        <v>5.3</v>
      </c>
      <c r="F29" s="450">
        <v>1</v>
      </c>
    </row>
    <row r="30" spans="1:6" ht="16.5" customHeight="1" thickBot="1" x14ac:dyDescent="0.35">
      <c r="A30" s="453" t="s">
        <v>18</v>
      </c>
      <c r="B30" s="454">
        <f>AVERAGE(B24:B29)</f>
        <v>2756934.5</v>
      </c>
      <c r="C30" s="455">
        <f>AVERAGE(C24:C29)</f>
        <v>6177.6166666666659</v>
      </c>
      <c r="D30" s="456">
        <f>AVERAGE(D24:D29)</f>
        <v>1.2</v>
      </c>
      <c r="E30" s="457">
        <f>AVERAGE(E24:E29)</f>
        <v>5.3</v>
      </c>
      <c r="F30" s="458">
        <f>AVERAGE(F24:F29)</f>
        <v>1</v>
      </c>
    </row>
    <row r="31" spans="1:6" ht="16.5" customHeight="1" x14ac:dyDescent="0.3">
      <c r="A31" s="459" t="s">
        <v>19</v>
      </c>
      <c r="B31" s="460">
        <f>(STDEV(B24:B29)/B30)</f>
        <v>3.9464046969888205E-3</v>
      </c>
      <c r="C31" s="461"/>
      <c r="D31" s="461"/>
      <c r="E31" s="462"/>
    </row>
    <row r="32" spans="1:6" s="433" customFormat="1" ht="16.5" customHeight="1" x14ac:dyDescent="0.3">
      <c r="A32" s="463" t="s">
        <v>20</v>
      </c>
      <c r="B32" s="464">
        <f>COUNT(B24:B29)</f>
        <v>6</v>
      </c>
      <c r="C32" s="465"/>
      <c r="D32" s="466"/>
      <c r="E32" s="467"/>
    </row>
    <row r="33" spans="1:6" s="433" customFormat="1" ht="15.75" customHeight="1" x14ac:dyDescent="0.25">
      <c r="A33" s="438"/>
      <c r="B33" s="438"/>
      <c r="C33" s="438"/>
      <c r="D33" s="438"/>
      <c r="E33" s="438"/>
    </row>
    <row r="34" spans="1:6" s="433" customFormat="1" ht="16.5" customHeight="1" x14ac:dyDescent="0.3">
      <c r="A34" s="440" t="s">
        <v>21</v>
      </c>
      <c r="B34" s="468" t="s">
        <v>22</v>
      </c>
      <c r="C34" s="469"/>
      <c r="D34" s="469"/>
      <c r="E34" s="469"/>
    </row>
    <row r="35" spans="1:6" ht="16.5" customHeight="1" x14ac:dyDescent="0.3">
      <c r="A35" s="440"/>
      <c r="B35" s="468" t="s">
        <v>23</v>
      </c>
      <c r="C35" s="469"/>
      <c r="D35" s="469"/>
      <c r="E35" s="469"/>
    </row>
    <row r="36" spans="1:6" ht="16.5" customHeight="1" x14ac:dyDescent="0.3">
      <c r="A36" s="440"/>
      <c r="B36" s="468" t="s">
        <v>24</v>
      </c>
      <c r="C36" s="469"/>
      <c r="D36" s="469"/>
      <c r="E36" s="469"/>
    </row>
    <row r="37" spans="1:6" ht="15.75" customHeight="1" x14ac:dyDescent="0.25">
      <c r="A37" s="438"/>
      <c r="B37" s="438" t="s">
        <v>138</v>
      </c>
      <c r="C37" s="438"/>
      <c r="D37" s="438"/>
      <c r="E37" s="438"/>
    </row>
    <row r="38" spans="1:6" ht="16.5" customHeight="1" x14ac:dyDescent="0.3">
      <c r="A38" s="435" t="s">
        <v>1</v>
      </c>
      <c r="B38" s="436" t="s">
        <v>25</v>
      </c>
    </row>
    <row r="39" spans="1:6" ht="16.5" customHeight="1" x14ac:dyDescent="0.3">
      <c r="A39" s="440" t="s">
        <v>4</v>
      </c>
      <c r="B39" s="437" t="s">
        <v>132</v>
      </c>
      <c r="C39" s="438"/>
      <c r="D39" s="438"/>
      <c r="E39" s="438"/>
    </row>
    <row r="40" spans="1:6" ht="16.5" customHeight="1" x14ac:dyDescent="0.3">
      <c r="A40" s="440" t="s">
        <v>6</v>
      </c>
      <c r="B40" s="441">
        <v>99.7</v>
      </c>
      <c r="C40" s="438"/>
      <c r="D40" s="438"/>
      <c r="E40" s="438"/>
    </row>
    <row r="41" spans="1:6" ht="16.5" customHeight="1" x14ac:dyDescent="0.3">
      <c r="A41" s="437" t="s">
        <v>8</v>
      </c>
      <c r="B41" s="441">
        <v>22.46</v>
      </c>
      <c r="C41" s="438"/>
      <c r="D41" s="438"/>
      <c r="E41" s="438"/>
    </row>
    <row r="42" spans="1:6" ht="16.5" customHeight="1" x14ac:dyDescent="0.3">
      <c r="A42" s="437" t="s">
        <v>10</v>
      </c>
      <c r="B42" s="442">
        <v>3.5936000000000003E-2</v>
      </c>
      <c r="C42" s="438"/>
      <c r="D42" s="438"/>
      <c r="E42" s="438"/>
    </row>
    <row r="43" spans="1:6" ht="15.75" customHeight="1" thickBot="1" x14ac:dyDescent="0.3">
      <c r="A43" s="438"/>
      <c r="B43" s="438"/>
      <c r="C43" s="438"/>
      <c r="D43" s="438"/>
      <c r="E43" s="438"/>
    </row>
    <row r="44" spans="1:6" ht="16.5" customHeight="1" thickBot="1" x14ac:dyDescent="0.35">
      <c r="A44" s="443" t="s">
        <v>13</v>
      </c>
      <c r="B44" s="444" t="s">
        <v>14</v>
      </c>
      <c r="C44" s="443" t="s">
        <v>15</v>
      </c>
      <c r="D44" s="443" t="s">
        <v>16</v>
      </c>
      <c r="E44" s="444" t="s">
        <v>17</v>
      </c>
      <c r="F44" s="470" t="s">
        <v>136</v>
      </c>
    </row>
    <row r="45" spans="1:6" ht="16.5" customHeight="1" x14ac:dyDescent="0.3">
      <c r="A45" s="446">
        <v>1</v>
      </c>
      <c r="B45" s="447">
        <v>2757576</v>
      </c>
      <c r="C45" s="447">
        <v>6277.5</v>
      </c>
      <c r="D45" s="448">
        <v>1.2</v>
      </c>
      <c r="E45" s="471">
        <v>5.3</v>
      </c>
      <c r="F45" s="472">
        <v>1</v>
      </c>
    </row>
    <row r="46" spans="1:6" ht="16.5" customHeight="1" x14ac:dyDescent="0.3">
      <c r="A46" s="446">
        <v>2</v>
      </c>
      <c r="B46" s="447">
        <v>2743969</v>
      </c>
      <c r="C46" s="447">
        <v>6230.1</v>
      </c>
      <c r="D46" s="448">
        <v>1.2</v>
      </c>
      <c r="E46" s="473">
        <v>5.3</v>
      </c>
      <c r="F46" s="474">
        <v>1</v>
      </c>
    </row>
    <row r="47" spans="1:6" ht="16.5" customHeight="1" x14ac:dyDescent="0.3">
      <c r="A47" s="446">
        <v>3</v>
      </c>
      <c r="B47" s="447">
        <v>2754234</v>
      </c>
      <c r="C47" s="447">
        <v>6159.3</v>
      </c>
      <c r="D47" s="448">
        <v>1.2</v>
      </c>
      <c r="E47" s="473">
        <v>5.3</v>
      </c>
      <c r="F47" s="474">
        <v>1</v>
      </c>
    </row>
    <row r="48" spans="1:6" ht="16.5" customHeight="1" x14ac:dyDescent="0.3">
      <c r="A48" s="446">
        <v>4</v>
      </c>
      <c r="B48" s="447">
        <v>2747200</v>
      </c>
      <c r="C48" s="447">
        <v>6174.5</v>
      </c>
      <c r="D48" s="448">
        <v>1.2</v>
      </c>
      <c r="E48" s="473">
        <v>5.3</v>
      </c>
      <c r="F48" s="474">
        <v>1</v>
      </c>
    </row>
    <row r="49" spans="1:7" ht="16.5" customHeight="1" x14ac:dyDescent="0.3">
      <c r="A49" s="446">
        <v>5</v>
      </c>
      <c r="B49" s="447">
        <v>2766594</v>
      </c>
      <c r="C49" s="447">
        <v>6109.6</v>
      </c>
      <c r="D49" s="448">
        <v>1.2</v>
      </c>
      <c r="E49" s="473">
        <v>5.3</v>
      </c>
      <c r="F49" s="474">
        <v>1</v>
      </c>
    </row>
    <row r="50" spans="1:7" ht="16.5" customHeight="1" thickBot="1" x14ac:dyDescent="0.35">
      <c r="A50" s="446">
        <v>6</v>
      </c>
      <c r="B50" s="451">
        <v>2772034</v>
      </c>
      <c r="C50" s="451">
        <v>6114.7</v>
      </c>
      <c r="D50" s="452">
        <v>1.2</v>
      </c>
      <c r="E50" s="475">
        <v>5.3</v>
      </c>
      <c r="F50" s="476">
        <v>1</v>
      </c>
    </row>
    <row r="51" spans="1:7" ht="16.5" customHeight="1" x14ac:dyDescent="0.3">
      <c r="A51" s="453" t="s">
        <v>18</v>
      </c>
      <c r="B51" s="454">
        <v>2756934.5</v>
      </c>
      <c r="C51" s="455">
        <v>6177.6166666666659</v>
      </c>
      <c r="D51" s="477">
        <v>1.2</v>
      </c>
      <c r="E51" s="477">
        <v>5.3</v>
      </c>
      <c r="F51" s="478">
        <v>1</v>
      </c>
    </row>
    <row r="52" spans="1:7" ht="16.5" customHeight="1" x14ac:dyDescent="0.3">
      <c r="A52" s="459" t="s">
        <v>19</v>
      </c>
      <c r="B52" s="460">
        <v>3.9464046969888205E-3</v>
      </c>
      <c r="C52" s="461"/>
      <c r="D52" s="461"/>
      <c r="E52" s="462"/>
    </row>
    <row r="53" spans="1:7" s="433" customFormat="1" ht="16.5" customHeight="1" x14ac:dyDescent="0.3">
      <c r="A53" s="463" t="s">
        <v>20</v>
      </c>
      <c r="B53" s="464">
        <v>6</v>
      </c>
      <c r="C53" s="465"/>
      <c r="D53" s="466"/>
      <c r="E53" s="467"/>
    </row>
    <row r="54" spans="1:7" s="433" customFormat="1" ht="15.75" customHeight="1" x14ac:dyDescent="0.25">
      <c r="A54" s="438"/>
      <c r="B54" s="438"/>
      <c r="C54" s="438"/>
      <c r="D54" s="438"/>
      <c r="E54" s="438"/>
    </row>
    <row r="55" spans="1:7" s="433" customFormat="1" ht="16.5" customHeight="1" x14ac:dyDescent="0.3">
      <c r="A55" s="440" t="s">
        <v>21</v>
      </c>
      <c r="B55" s="468" t="s">
        <v>22</v>
      </c>
      <c r="C55" s="469"/>
      <c r="D55" s="469"/>
      <c r="E55" s="469"/>
    </row>
    <row r="56" spans="1:7" ht="16.5" customHeight="1" x14ac:dyDescent="0.3">
      <c r="A56" s="440"/>
      <c r="B56" s="468" t="s">
        <v>23</v>
      </c>
      <c r="C56" s="469"/>
      <c r="D56" s="469"/>
      <c r="E56" s="469"/>
    </row>
    <row r="57" spans="1:7" ht="16.5" customHeight="1" x14ac:dyDescent="0.3">
      <c r="A57" s="440"/>
      <c r="B57" s="468" t="s">
        <v>24</v>
      </c>
      <c r="C57" s="469"/>
      <c r="D57" s="469"/>
      <c r="E57" s="469"/>
    </row>
    <row r="58" spans="1:7" ht="14.25" customHeight="1" thickBot="1" x14ac:dyDescent="0.3">
      <c r="A58" s="479"/>
      <c r="B58" s="480"/>
      <c r="D58" s="481"/>
      <c r="F58" s="482"/>
      <c r="G58" s="482"/>
    </row>
    <row r="59" spans="1:7" ht="15" customHeight="1" x14ac:dyDescent="0.3">
      <c r="B59" s="506" t="s">
        <v>26</v>
      </c>
      <c r="C59" s="506"/>
      <c r="E59" s="483" t="s">
        <v>27</v>
      </c>
      <c r="F59" s="484"/>
      <c r="G59" s="483" t="s">
        <v>28</v>
      </c>
    </row>
    <row r="60" spans="1:7" ht="15" customHeight="1" x14ac:dyDescent="0.3">
      <c r="A60" s="485" t="s">
        <v>29</v>
      </c>
      <c r="B60" s="486" t="s">
        <v>139</v>
      </c>
      <c r="C60" s="486"/>
      <c r="E60" s="486" t="s">
        <v>140</v>
      </c>
      <c r="G60" s="486"/>
    </row>
    <row r="61" spans="1:7" ht="15" customHeight="1" x14ac:dyDescent="0.3">
      <c r="A61" s="485" t="s">
        <v>30</v>
      </c>
      <c r="B61" s="487"/>
      <c r="C61" s="487"/>
      <c r="E61" s="487"/>
      <c r="G61" s="4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topLeftCell="A13" zoomScale="60" zoomScaleNormal="60" workbookViewId="0">
      <selection activeCell="B40" sqref="B40:B43"/>
    </sheetView>
  </sheetViews>
  <sheetFormatPr defaultRowHeight="13.5" x14ac:dyDescent="0.25"/>
  <cols>
    <col min="1" max="1" width="27.5703125" style="433" customWidth="1"/>
    <col min="2" max="2" width="25.42578125" style="433" customWidth="1"/>
    <col min="3" max="3" width="31.85546875" style="433" customWidth="1"/>
    <col min="4" max="4" width="25.85546875" style="433" customWidth="1"/>
    <col min="5" max="5" width="29.7109375" style="433" customWidth="1"/>
    <col min="6" max="6" width="43.7109375" style="433" customWidth="1"/>
    <col min="7" max="7" width="28.42578125" style="433" customWidth="1"/>
    <col min="8" max="8" width="21.5703125" style="433" customWidth="1"/>
    <col min="9" max="9" width="9.140625" style="433" customWidth="1"/>
    <col min="10" max="16384" width="9.140625" style="482"/>
  </cols>
  <sheetData>
    <row r="14" spans="1:6" ht="15" customHeight="1" x14ac:dyDescent="0.3">
      <c r="A14" s="432"/>
      <c r="C14" s="434"/>
      <c r="F14" s="434"/>
    </row>
    <row r="15" spans="1:6" ht="18.75" customHeight="1" x14ac:dyDescent="0.3">
      <c r="A15" s="505" t="s">
        <v>0</v>
      </c>
      <c r="B15" s="505"/>
      <c r="C15" s="505"/>
      <c r="D15" s="505"/>
      <c r="E15" s="505"/>
    </row>
    <row r="16" spans="1:6" ht="16.5" customHeight="1" x14ac:dyDescent="0.3">
      <c r="A16" s="435" t="s">
        <v>1</v>
      </c>
      <c r="B16" s="436" t="s">
        <v>2</v>
      </c>
    </row>
    <row r="17" spans="1:7" ht="16.5" customHeight="1" x14ac:dyDescent="0.3">
      <c r="A17" s="437" t="s">
        <v>3</v>
      </c>
      <c r="B17" s="437" t="s">
        <v>5</v>
      </c>
      <c r="C17" s="438"/>
      <c r="D17" s="439"/>
      <c r="E17" s="438"/>
    </row>
    <row r="18" spans="1:7" ht="16.5" customHeight="1" x14ac:dyDescent="0.3">
      <c r="A18" s="440" t="s">
        <v>4</v>
      </c>
      <c r="B18" s="441" t="s">
        <v>134</v>
      </c>
      <c r="C18" s="438"/>
      <c r="D18" s="438"/>
      <c r="E18" s="438"/>
    </row>
    <row r="19" spans="1:7" ht="16.5" customHeight="1" x14ac:dyDescent="0.3">
      <c r="A19" s="440" t="s">
        <v>6</v>
      </c>
      <c r="B19" s="441">
        <v>99.02</v>
      </c>
      <c r="C19" s="438"/>
      <c r="D19" s="438"/>
      <c r="E19" s="438"/>
    </row>
    <row r="20" spans="1:7" ht="16.5" customHeight="1" x14ac:dyDescent="0.3">
      <c r="A20" s="437" t="s">
        <v>8</v>
      </c>
      <c r="B20" s="441">
        <v>15.37</v>
      </c>
      <c r="C20" s="438"/>
      <c r="D20" s="438"/>
      <c r="E20" s="438"/>
    </row>
    <row r="21" spans="1:7" ht="16.5" customHeight="1" x14ac:dyDescent="0.3">
      <c r="A21" s="437" t="s">
        <v>10</v>
      </c>
      <c r="B21" s="442">
        <f>15.37/100</f>
        <v>0.1537</v>
      </c>
      <c r="C21" s="438"/>
      <c r="D21" s="438"/>
      <c r="E21" s="438"/>
    </row>
    <row r="22" spans="1:7" ht="15.75" customHeight="1" thickBot="1" x14ac:dyDescent="0.3">
      <c r="A22" s="438"/>
      <c r="B22" s="438" t="s">
        <v>141</v>
      </c>
      <c r="C22" s="438"/>
      <c r="D22" s="438"/>
      <c r="E22" s="438"/>
    </row>
    <row r="23" spans="1:7" ht="16.5" customHeight="1" x14ac:dyDescent="0.3">
      <c r="A23" s="443" t="s">
        <v>13</v>
      </c>
      <c r="B23" s="444" t="s">
        <v>14</v>
      </c>
      <c r="C23" s="443" t="s">
        <v>15</v>
      </c>
      <c r="D23" s="443" t="s">
        <v>16</v>
      </c>
      <c r="E23" s="444" t="s">
        <v>17</v>
      </c>
      <c r="F23" s="489" t="s">
        <v>142</v>
      </c>
      <c r="G23" s="490" t="s">
        <v>143</v>
      </c>
    </row>
    <row r="24" spans="1:7" ht="16.5" customHeight="1" x14ac:dyDescent="0.3">
      <c r="A24" s="446">
        <v>1</v>
      </c>
      <c r="B24" s="447">
        <v>32450596</v>
      </c>
      <c r="C24" s="447">
        <v>8130.5</v>
      </c>
      <c r="D24" s="448">
        <v>0.9</v>
      </c>
      <c r="E24" s="471">
        <v>10.7</v>
      </c>
      <c r="F24" s="491">
        <v>2.0249999999999999</v>
      </c>
      <c r="G24" s="492">
        <v>14.6</v>
      </c>
    </row>
    <row r="25" spans="1:7" ht="16.5" customHeight="1" x14ac:dyDescent="0.3">
      <c r="A25" s="446">
        <v>2</v>
      </c>
      <c r="B25" s="447">
        <v>32275133</v>
      </c>
      <c r="C25" s="447">
        <v>8076</v>
      </c>
      <c r="D25" s="448">
        <v>0.9</v>
      </c>
      <c r="E25" s="473">
        <v>10.7</v>
      </c>
      <c r="F25" s="491">
        <v>2.0249999999999999</v>
      </c>
      <c r="G25" s="492">
        <v>14.6</v>
      </c>
    </row>
    <row r="26" spans="1:7" ht="16.5" customHeight="1" x14ac:dyDescent="0.3">
      <c r="A26" s="446">
        <v>3</v>
      </c>
      <c r="B26" s="447">
        <v>32402152</v>
      </c>
      <c r="C26" s="447">
        <v>7973.2</v>
      </c>
      <c r="D26" s="448">
        <v>0.9</v>
      </c>
      <c r="E26" s="473">
        <v>10.7</v>
      </c>
      <c r="F26" s="491">
        <v>2.024</v>
      </c>
      <c r="G26" s="492">
        <v>14.5</v>
      </c>
    </row>
    <row r="27" spans="1:7" ht="16.5" customHeight="1" x14ac:dyDescent="0.3">
      <c r="A27" s="446">
        <v>4</v>
      </c>
      <c r="B27" s="447">
        <v>32339671</v>
      </c>
      <c r="C27" s="447">
        <v>7899.5</v>
      </c>
      <c r="D27" s="448">
        <v>0.9</v>
      </c>
      <c r="E27" s="473">
        <v>10.7</v>
      </c>
      <c r="F27" s="491">
        <v>2.0230000000000001</v>
      </c>
      <c r="G27" s="492">
        <v>14.4</v>
      </c>
    </row>
    <row r="28" spans="1:7" ht="16.5" customHeight="1" x14ac:dyDescent="0.3">
      <c r="A28" s="446">
        <v>5</v>
      </c>
      <c r="B28" s="447">
        <v>32549456</v>
      </c>
      <c r="C28" s="447">
        <v>7844.1</v>
      </c>
      <c r="D28" s="448">
        <v>0.9</v>
      </c>
      <c r="E28" s="473">
        <v>10.7</v>
      </c>
      <c r="F28" s="491">
        <v>2.0230000000000001</v>
      </c>
      <c r="G28" s="492">
        <v>14.4</v>
      </c>
    </row>
    <row r="29" spans="1:7" ht="16.5" customHeight="1" thickBot="1" x14ac:dyDescent="0.35">
      <c r="A29" s="446">
        <v>6</v>
      </c>
      <c r="B29" s="451">
        <v>32628580</v>
      </c>
      <c r="C29" s="451">
        <v>7776.3</v>
      </c>
      <c r="D29" s="452">
        <v>0.9</v>
      </c>
      <c r="E29" s="475">
        <v>10.7</v>
      </c>
      <c r="F29" s="491">
        <v>2.024</v>
      </c>
      <c r="G29" s="492">
        <v>14.3</v>
      </c>
    </row>
    <row r="30" spans="1:7" ht="16.5" customHeight="1" thickBot="1" x14ac:dyDescent="0.35">
      <c r="A30" s="453" t="s">
        <v>18</v>
      </c>
      <c r="B30" s="454">
        <f t="shared" ref="B30:G30" si="0">AVERAGE(B24:B29)</f>
        <v>32440931.333333332</v>
      </c>
      <c r="C30" s="455">
        <f t="shared" si="0"/>
        <v>7949.9333333333343</v>
      </c>
      <c r="D30" s="477">
        <f t="shared" si="0"/>
        <v>0.9</v>
      </c>
      <c r="E30" s="456">
        <f t="shared" si="0"/>
        <v>10.700000000000001</v>
      </c>
      <c r="F30" s="493">
        <f t="shared" si="0"/>
        <v>2.0239999999999996</v>
      </c>
      <c r="G30" s="458">
        <f t="shared" si="0"/>
        <v>14.466666666666667</v>
      </c>
    </row>
    <row r="31" spans="1:7" ht="16.5" customHeight="1" x14ac:dyDescent="0.3">
      <c r="A31" s="459" t="s">
        <v>19</v>
      </c>
      <c r="B31" s="460">
        <f>(STDEV(B24:B29)/B30)</f>
        <v>4.0504341345161624E-3</v>
      </c>
      <c r="C31" s="461"/>
      <c r="D31" s="461"/>
      <c r="E31" s="494"/>
      <c r="F31" s="495"/>
      <c r="G31" s="496"/>
    </row>
    <row r="32" spans="1:7" s="433" customFormat="1" ht="16.5" customHeight="1" thickBot="1" x14ac:dyDescent="0.35">
      <c r="A32" s="463" t="s">
        <v>20</v>
      </c>
      <c r="B32" s="464">
        <f>COUNT(B24:B29)</f>
        <v>6</v>
      </c>
      <c r="C32" s="465"/>
      <c r="D32" s="466"/>
      <c r="E32" s="466"/>
      <c r="F32" s="497"/>
      <c r="G32" s="498"/>
    </row>
    <row r="33" spans="1:7" s="433" customFormat="1" ht="15.75" customHeight="1" x14ac:dyDescent="0.25">
      <c r="A33" s="438"/>
      <c r="B33" s="438"/>
      <c r="C33" s="438"/>
      <c r="D33" s="438"/>
      <c r="E33" s="438"/>
    </row>
    <row r="34" spans="1:7" s="433" customFormat="1" ht="16.5" customHeight="1" x14ac:dyDescent="0.3">
      <c r="A34" s="440" t="s">
        <v>21</v>
      </c>
      <c r="B34" s="468" t="s">
        <v>22</v>
      </c>
      <c r="C34" s="469"/>
      <c r="D34" s="469"/>
      <c r="E34" s="469"/>
    </row>
    <row r="35" spans="1:7" ht="16.5" customHeight="1" x14ac:dyDescent="0.3">
      <c r="A35" s="440"/>
      <c r="B35" s="468" t="s">
        <v>23</v>
      </c>
      <c r="C35" s="469"/>
      <c r="D35" s="469"/>
      <c r="E35" s="469"/>
    </row>
    <row r="36" spans="1:7" ht="16.5" customHeight="1" x14ac:dyDescent="0.3">
      <c r="A36" s="440"/>
      <c r="B36" s="468" t="s">
        <v>24</v>
      </c>
      <c r="C36" s="469"/>
      <c r="D36" s="469"/>
      <c r="E36" s="469"/>
    </row>
    <row r="37" spans="1:7" ht="16.5" customHeight="1" x14ac:dyDescent="0.3">
      <c r="A37" s="440"/>
      <c r="B37" s="468" t="s">
        <v>144</v>
      </c>
      <c r="C37" s="469"/>
      <c r="D37" s="469"/>
      <c r="E37" s="469"/>
    </row>
    <row r="38" spans="1:7" ht="15.75" customHeight="1" x14ac:dyDescent="0.25">
      <c r="A38" s="438"/>
      <c r="B38" s="438" t="s">
        <v>145</v>
      </c>
      <c r="C38" s="438"/>
      <c r="D38" s="438"/>
      <c r="E38" s="438"/>
    </row>
    <row r="39" spans="1:7" ht="16.5" customHeight="1" x14ac:dyDescent="0.3">
      <c r="A39" s="435" t="s">
        <v>1</v>
      </c>
      <c r="B39" s="436" t="s">
        <v>25</v>
      </c>
    </row>
    <row r="40" spans="1:7" ht="16.5" customHeight="1" x14ac:dyDescent="0.3">
      <c r="A40" s="440" t="s">
        <v>4</v>
      </c>
      <c r="B40" s="437" t="s">
        <v>134</v>
      </c>
      <c r="C40" s="438"/>
      <c r="D40" s="438"/>
      <c r="E40" s="438"/>
    </row>
    <row r="41" spans="1:7" ht="16.5" customHeight="1" x14ac:dyDescent="0.3">
      <c r="A41" s="440" t="s">
        <v>6</v>
      </c>
      <c r="B41" s="441">
        <v>99.02</v>
      </c>
      <c r="C41" s="438"/>
      <c r="D41" s="438"/>
      <c r="E41" s="438"/>
    </row>
    <row r="42" spans="1:7" ht="16.5" customHeight="1" x14ac:dyDescent="0.3">
      <c r="A42" s="437" t="s">
        <v>8</v>
      </c>
      <c r="B42" s="441">
        <v>15.37</v>
      </c>
      <c r="C42" s="438"/>
      <c r="D42" s="438"/>
      <c r="E42" s="438"/>
    </row>
    <row r="43" spans="1:7" ht="16.5" customHeight="1" x14ac:dyDescent="0.3">
      <c r="A43" s="437" t="s">
        <v>10</v>
      </c>
      <c r="B43" s="442">
        <v>0.1537</v>
      </c>
      <c r="C43" s="438"/>
      <c r="D43" s="438"/>
      <c r="E43" s="438"/>
    </row>
    <row r="44" spans="1:7" ht="15.75" customHeight="1" thickBot="1" x14ac:dyDescent="0.3">
      <c r="A44" s="438"/>
      <c r="B44" s="438"/>
      <c r="C44" s="438"/>
      <c r="D44" s="438"/>
      <c r="E44" s="438"/>
    </row>
    <row r="45" spans="1:7" ht="16.5" customHeight="1" thickBot="1" x14ac:dyDescent="0.35">
      <c r="A45" s="443" t="s">
        <v>13</v>
      </c>
      <c r="B45" s="444" t="s">
        <v>14</v>
      </c>
      <c r="C45" s="443" t="s">
        <v>15</v>
      </c>
      <c r="D45" s="443" t="s">
        <v>16</v>
      </c>
      <c r="E45" s="444" t="s">
        <v>17</v>
      </c>
      <c r="F45" s="470" t="s">
        <v>142</v>
      </c>
      <c r="G45" s="499" t="s">
        <v>143</v>
      </c>
    </row>
    <row r="46" spans="1:7" ht="16.5" customHeight="1" x14ac:dyDescent="0.3">
      <c r="A46" s="446">
        <v>1</v>
      </c>
      <c r="B46" s="447">
        <v>32450596</v>
      </c>
      <c r="C46" s="447">
        <v>8130.5</v>
      </c>
      <c r="D46" s="448">
        <v>0.9</v>
      </c>
      <c r="E46" s="471">
        <v>10.7</v>
      </c>
      <c r="F46" s="474">
        <v>2.0249999999999999</v>
      </c>
      <c r="G46" s="500">
        <v>14.6</v>
      </c>
    </row>
    <row r="47" spans="1:7" ht="16.5" customHeight="1" x14ac:dyDescent="0.3">
      <c r="A47" s="446">
        <v>2</v>
      </c>
      <c r="B47" s="447">
        <v>32275133</v>
      </c>
      <c r="C47" s="447">
        <v>8076</v>
      </c>
      <c r="D47" s="448">
        <v>0.9</v>
      </c>
      <c r="E47" s="473">
        <v>10.7</v>
      </c>
      <c r="F47" s="474">
        <v>2.0249999999999999</v>
      </c>
      <c r="G47" s="500">
        <v>14.6</v>
      </c>
    </row>
    <row r="48" spans="1:7" ht="16.5" customHeight="1" x14ac:dyDescent="0.3">
      <c r="A48" s="446">
        <v>3</v>
      </c>
      <c r="B48" s="447">
        <v>32402152</v>
      </c>
      <c r="C48" s="447">
        <v>7973.2</v>
      </c>
      <c r="D48" s="448">
        <v>0.9</v>
      </c>
      <c r="E48" s="473">
        <v>10.7</v>
      </c>
      <c r="F48" s="474">
        <v>2.024</v>
      </c>
      <c r="G48" s="500">
        <v>14.5</v>
      </c>
    </row>
    <row r="49" spans="1:7" ht="16.5" customHeight="1" x14ac:dyDescent="0.3">
      <c r="A49" s="446">
        <v>4</v>
      </c>
      <c r="B49" s="447">
        <v>32339671</v>
      </c>
      <c r="C49" s="447">
        <v>7899.5</v>
      </c>
      <c r="D49" s="448">
        <v>0.9</v>
      </c>
      <c r="E49" s="473">
        <v>10.7</v>
      </c>
      <c r="F49" s="474">
        <v>2.0230000000000001</v>
      </c>
      <c r="G49" s="500">
        <v>14.4</v>
      </c>
    </row>
    <row r="50" spans="1:7" ht="16.5" customHeight="1" x14ac:dyDescent="0.3">
      <c r="A50" s="446">
        <v>5</v>
      </c>
      <c r="B50" s="447">
        <v>32549456</v>
      </c>
      <c r="C50" s="447">
        <v>7844.1</v>
      </c>
      <c r="D50" s="448">
        <v>0.9</v>
      </c>
      <c r="E50" s="473">
        <v>10.7</v>
      </c>
      <c r="F50" s="474">
        <v>2.0230000000000001</v>
      </c>
      <c r="G50" s="500">
        <v>14.4</v>
      </c>
    </row>
    <row r="51" spans="1:7" ht="16.5" customHeight="1" x14ac:dyDescent="0.3">
      <c r="A51" s="446">
        <v>6</v>
      </c>
      <c r="B51" s="451">
        <v>32628580</v>
      </c>
      <c r="C51" s="451">
        <v>7776.3</v>
      </c>
      <c r="D51" s="452">
        <v>0.9</v>
      </c>
      <c r="E51" s="475">
        <v>10.7</v>
      </c>
      <c r="F51" s="474">
        <v>2.024</v>
      </c>
      <c r="G51" s="500">
        <v>14.3</v>
      </c>
    </row>
    <row r="52" spans="1:7" ht="16.5" customHeight="1" x14ac:dyDescent="0.3">
      <c r="A52" s="453" t="s">
        <v>18</v>
      </c>
      <c r="B52" s="454">
        <v>32440931.333333332</v>
      </c>
      <c r="C52" s="455">
        <v>7949.9333333333343</v>
      </c>
      <c r="D52" s="477">
        <v>0.9</v>
      </c>
      <c r="E52" s="456">
        <v>10.700000000000001</v>
      </c>
      <c r="F52" s="501">
        <v>2.0239999999999996</v>
      </c>
      <c r="G52" s="502">
        <v>14.466666666666667</v>
      </c>
    </row>
    <row r="53" spans="1:7" ht="16.5" customHeight="1" x14ac:dyDescent="0.3">
      <c r="A53" s="459" t="s">
        <v>19</v>
      </c>
      <c r="B53" s="460">
        <v>4.0504341345161624E-3</v>
      </c>
      <c r="C53" s="461"/>
      <c r="D53" s="461"/>
      <c r="E53" s="494"/>
      <c r="F53" s="495"/>
      <c r="G53" s="503"/>
    </row>
    <row r="54" spans="1:7" s="433" customFormat="1" ht="16.5" customHeight="1" thickBot="1" x14ac:dyDescent="0.35">
      <c r="A54" s="463" t="s">
        <v>20</v>
      </c>
      <c r="B54" s="464">
        <v>6</v>
      </c>
      <c r="C54" s="465"/>
      <c r="D54" s="466"/>
      <c r="E54" s="466"/>
      <c r="F54" s="497"/>
      <c r="G54" s="504"/>
    </row>
    <row r="55" spans="1:7" s="433" customFormat="1" ht="15.75" customHeight="1" x14ac:dyDescent="0.25">
      <c r="A55" s="438"/>
      <c r="B55" s="438"/>
      <c r="C55" s="438"/>
      <c r="D55" s="438"/>
      <c r="E55" s="438"/>
    </row>
    <row r="56" spans="1:7" s="433" customFormat="1" ht="16.5" customHeight="1" x14ac:dyDescent="0.3">
      <c r="A56" s="440" t="s">
        <v>21</v>
      </c>
      <c r="B56" s="468" t="s">
        <v>22</v>
      </c>
      <c r="C56" s="469"/>
      <c r="D56" s="469"/>
      <c r="E56" s="469"/>
    </row>
    <row r="57" spans="1:7" ht="16.5" customHeight="1" x14ac:dyDescent="0.3">
      <c r="A57" s="440"/>
      <c r="B57" s="468" t="s">
        <v>23</v>
      </c>
      <c r="C57" s="469"/>
      <c r="D57" s="469"/>
      <c r="E57" s="469"/>
    </row>
    <row r="58" spans="1:7" ht="16.5" customHeight="1" x14ac:dyDescent="0.3">
      <c r="A58" s="440"/>
      <c r="B58" s="468" t="s">
        <v>24</v>
      </c>
      <c r="C58" s="469"/>
      <c r="D58" s="469"/>
      <c r="E58" s="469"/>
    </row>
    <row r="59" spans="1:7" ht="14.25" customHeight="1" thickBot="1" x14ac:dyDescent="0.3">
      <c r="A59" s="479"/>
      <c r="B59" s="480"/>
      <c r="D59" s="481"/>
      <c r="F59" s="482"/>
      <c r="G59" s="482"/>
    </row>
    <row r="60" spans="1:7" ht="15" customHeight="1" x14ac:dyDescent="0.3">
      <c r="B60" s="506" t="s">
        <v>26</v>
      </c>
      <c r="C60" s="506"/>
      <c r="E60" s="483" t="s">
        <v>27</v>
      </c>
      <c r="F60" s="484"/>
      <c r="G60" s="483" t="s">
        <v>28</v>
      </c>
    </row>
    <row r="61" spans="1:7" ht="15" customHeight="1" x14ac:dyDescent="0.3">
      <c r="A61" s="485" t="s">
        <v>29</v>
      </c>
      <c r="B61" s="486" t="s">
        <v>139</v>
      </c>
      <c r="C61" s="486"/>
      <c r="E61" s="486" t="s">
        <v>140</v>
      </c>
      <c r="G61" s="486"/>
    </row>
    <row r="62" spans="1:7" ht="15" customHeight="1" x14ac:dyDescent="0.3">
      <c r="A62" s="485" t="s">
        <v>30</v>
      </c>
      <c r="B62" s="487"/>
      <c r="C62" s="487"/>
      <c r="E62" s="487"/>
      <c r="G62" s="4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0" t="s">
        <v>31</v>
      </c>
      <c r="B11" s="511"/>
      <c r="C11" s="511"/>
      <c r="D11" s="511"/>
      <c r="E11" s="511"/>
      <c r="F11" s="512"/>
      <c r="G11" s="43"/>
    </row>
    <row r="12" spans="1:7" ht="16.5" customHeight="1" x14ac:dyDescent="0.3">
      <c r="A12" s="509" t="s">
        <v>32</v>
      </c>
      <c r="B12" s="509"/>
      <c r="C12" s="509"/>
      <c r="D12" s="509"/>
      <c r="E12" s="509"/>
      <c r="F12" s="509"/>
      <c r="G12" s="42"/>
    </row>
    <row r="14" spans="1:7" ht="16.5" customHeight="1" x14ac:dyDescent="0.3">
      <c r="A14" s="514" t="s">
        <v>33</v>
      </c>
      <c r="B14" s="514"/>
      <c r="C14" s="12" t="s">
        <v>5</v>
      </c>
    </row>
    <row r="15" spans="1:7" ht="16.5" customHeight="1" x14ac:dyDescent="0.3">
      <c r="A15" s="514" t="s">
        <v>34</v>
      </c>
      <c r="B15" s="514"/>
      <c r="C15" s="12" t="s">
        <v>7</v>
      </c>
    </row>
    <row r="16" spans="1:7" ht="16.5" customHeight="1" x14ac:dyDescent="0.3">
      <c r="A16" s="514" t="s">
        <v>35</v>
      </c>
      <c r="B16" s="514"/>
      <c r="C16" s="12" t="s">
        <v>9</v>
      </c>
    </row>
    <row r="17" spans="1:5" ht="16.5" customHeight="1" x14ac:dyDescent="0.3">
      <c r="A17" s="514" t="s">
        <v>36</v>
      </c>
      <c r="B17" s="514"/>
      <c r="C17" s="12" t="s">
        <v>11</v>
      </c>
    </row>
    <row r="18" spans="1:5" ht="16.5" customHeight="1" x14ac:dyDescent="0.3">
      <c r="A18" s="514" t="s">
        <v>37</v>
      </c>
      <c r="B18" s="514"/>
      <c r="C18" s="49" t="s">
        <v>12</v>
      </c>
    </row>
    <row r="19" spans="1:5" ht="16.5" customHeight="1" x14ac:dyDescent="0.3">
      <c r="A19" s="514" t="s">
        <v>38</v>
      </c>
      <c r="B19" s="51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09" t="s">
        <v>1</v>
      </c>
      <c r="B21" s="509"/>
      <c r="C21" s="11" t="s">
        <v>39</v>
      </c>
      <c r="D21" s="18"/>
    </row>
    <row r="22" spans="1:5" ht="15.75" customHeight="1" x14ac:dyDescent="0.3">
      <c r="A22" s="513"/>
      <c r="B22" s="513"/>
      <c r="C22" s="9"/>
      <c r="D22" s="513"/>
      <c r="E22" s="51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1071.04</v>
      </c>
      <c r="D24" s="39">
        <f t="shared" ref="D24:D43" si="0">(C24-$C$46)/$C$46</f>
        <v>-3.4607742476341474E-3</v>
      </c>
      <c r="E24" s="5"/>
    </row>
    <row r="25" spans="1:5" ht="15.75" customHeight="1" x14ac:dyDescent="0.3">
      <c r="C25" s="47">
        <v>1083.5899999999999</v>
      </c>
      <c r="D25" s="40">
        <f t="shared" si="0"/>
        <v>8.2162567532548456E-3</v>
      </c>
      <c r="E25" s="5"/>
    </row>
    <row r="26" spans="1:5" ht="15.75" customHeight="1" x14ac:dyDescent="0.3">
      <c r="C26" s="47">
        <v>1069.76</v>
      </c>
      <c r="D26" s="40">
        <f t="shared" si="0"/>
        <v>-4.6517383656530832E-3</v>
      </c>
      <c r="E26" s="5"/>
    </row>
    <row r="27" spans="1:5" ht="15.75" customHeight="1" x14ac:dyDescent="0.3">
      <c r="C27" s="47">
        <v>1074.3399999999999</v>
      </c>
      <c r="D27" s="40">
        <f t="shared" si="0"/>
        <v>-3.9031988086655502E-4</v>
      </c>
      <c r="E27" s="5"/>
    </row>
    <row r="28" spans="1:5" ht="15.75" customHeight="1" x14ac:dyDescent="0.3">
      <c r="C28" s="47">
        <v>1058.48</v>
      </c>
      <c r="D28" s="40">
        <f t="shared" si="0"/>
        <v>-1.5147109655695155E-2</v>
      </c>
      <c r="E28" s="5"/>
    </row>
    <row r="29" spans="1:5" ht="15.75" customHeight="1" x14ac:dyDescent="0.3">
      <c r="C29" s="47">
        <v>1078.52</v>
      </c>
      <c r="D29" s="40">
        <f t="shared" si="0"/>
        <v>3.4989223170391747E-3</v>
      </c>
      <c r="E29" s="5"/>
    </row>
    <row r="30" spans="1:5" ht="15.75" customHeight="1" x14ac:dyDescent="0.3">
      <c r="C30" s="47">
        <v>1083.33</v>
      </c>
      <c r="D30" s="40">
        <f t="shared" si="0"/>
        <v>7.9743421667822518E-3</v>
      </c>
      <c r="E30" s="5"/>
    </row>
    <row r="31" spans="1:5" ht="15.75" customHeight="1" x14ac:dyDescent="0.3">
      <c r="C31" s="47">
        <v>1065.6300000000001</v>
      </c>
      <c r="D31" s="40">
        <f t="shared" si="0"/>
        <v>-8.4944585276985288E-3</v>
      </c>
      <c r="E31" s="5"/>
    </row>
    <row r="32" spans="1:5" ht="15.75" customHeight="1" x14ac:dyDescent="0.3">
      <c r="C32" s="47">
        <v>1078.72</v>
      </c>
      <c r="D32" s="40">
        <f t="shared" si="0"/>
        <v>3.6850104604796798E-3</v>
      </c>
      <c r="E32" s="5"/>
    </row>
    <row r="33" spans="1:7" ht="15.75" customHeight="1" x14ac:dyDescent="0.3">
      <c r="C33" s="47">
        <v>1059.9000000000001</v>
      </c>
      <c r="D33" s="40">
        <f t="shared" si="0"/>
        <v>-1.3825883837267801E-2</v>
      </c>
      <c r="E33" s="5"/>
    </row>
    <row r="34" spans="1:7" ht="15.75" customHeight="1" x14ac:dyDescent="0.3">
      <c r="C34" s="47">
        <v>1089.2</v>
      </c>
      <c r="D34" s="40">
        <f t="shared" si="0"/>
        <v>1.3436029176759942E-2</v>
      </c>
      <c r="E34" s="5"/>
    </row>
    <row r="35" spans="1:7" ht="15.75" customHeight="1" x14ac:dyDescent="0.3">
      <c r="C35" s="47">
        <v>1090.8900000000001</v>
      </c>
      <c r="D35" s="40">
        <f t="shared" si="0"/>
        <v>1.5008473988831903E-2</v>
      </c>
      <c r="E35" s="5"/>
    </row>
    <row r="36" spans="1:7" ht="15.75" customHeight="1" x14ac:dyDescent="0.3">
      <c r="C36" s="47">
        <v>1076.6199999999999</v>
      </c>
      <c r="D36" s="40">
        <f t="shared" si="0"/>
        <v>1.7310849543546944E-3</v>
      </c>
      <c r="E36" s="5"/>
    </row>
    <row r="37" spans="1:7" ht="15.75" customHeight="1" x14ac:dyDescent="0.3">
      <c r="C37" s="47">
        <v>1084.31</v>
      </c>
      <c r="D37" s="40">
        <f t="shared" si="0"/>
        <v>8.8861740696405365E-3</v>
      </c>
      <c r="E37" s="5"/>
    </row>
    <row r="38" spans="1:7" ht="15.75" customHeight="1" x14ac:dyDescent="0.3">
      <c r="C38" s="47">
        <v>1063.93</v>
      </c>
      <c r="D38" s="40">
        <f t="shared" si="0"/>
        <v>-1.0076207746942503E-2</v>
      </c>
      <c r="E38" s="5"/>
    </row>
    <row r="39" spans="1:7" ht="15.75" customHeight="1" x14ac:dyDescent="0.3">
      <c r="C39" s="47">
        <v>1078.45</v>
      </c>
      <c r="D39" s="40">
        <f t="shared" si="0"/>
        <v>3.4337914668350722E-3</v>
      </c>
      <c r="E39" s="5"/>
    </row>
    <row r="40" spans="1:7" ht="15.75" customHeight="1" x14ac:dyDescent="0.3">
      <c r="C40" s="47">
        <v>1085.53</v>
      </c>
      <c r="D40" s="40">
        <f t="shared" si="0"/>
        <v>1.0021311744627384E-2</v>
      </c>
      <c r="E40" s="5"/>
    </row>
    <row r="41" spans="1:7" ht="15.75" customHeight="1" x14ac:dyDescent="0.3">
      <c r="C41" s="47">
        <v>1066.97</v>
      </c>
      <c r="D41" s="40">
        <f t="shared" si="0"/>
        <v>-7.2476679666475044E-3</v>
      </c>
      <c r="E41" s="5"/>
    </row>
    <row r="42" spans="1:7" ht="15.75" customHeight="1" x14ac:dyDescent="0.3">
      <c r="C42" s="47">
        <v>1065.33</v>
      </c>
      <c r="D42" s="40">
        <f t="shared" si="0"/>
        <v>-8.7735907428593916E-3</v>
      </c>
      <c r="E42" s="5"/>
    </row>
    <row r="43" spans="1:7" ht="16.5" customHeight="1" x14ac:dyDescent="0.3">
      <c r="C43" s="48">
        <v>1070.6500000000001</v>
      </c>
      <c r="D43" s="41">
        <f t="shared" si="0"/>
        <v>-3.8236461273429313E-3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21495.190000000002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1074.7595000000001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07">
        <f>C46</f>
        <v>1074.7595000000001</v>
      </c>
      <c r="C49" s="45">
        <f>-IF(C46&lt;=80,10%,IF(C46&lt;250,7.5%,5%))</f>
        <v>-0.05</v>
      </c>
      <c r="D49" s="33">
        <f>IF(C46&lt;=80,C46*0.9,IF(C46&lt;250,C46*0.925,C46*0.95))</f>
        <v>1021.0215250000001</v>
      </c>
    </row>
    <row r="50" spans="1:6" ht="17.25" customHeight="1" x14ac:dyDescent="0.3">
      <c r="B50" s="508"/>
      <c r="C50" s="46">
        <f>IF(C46&lt;=80, 10%, IF(C46&lt;250, 7.5%, 5%))</f>
        <v>0.05</v>
      </c>
      <c r="D50" s="33">
        <f>IF(C46&lt;=80, C46*1.1, IF(C46&lt;250, C46*1.075, C46*1.05))</f>
        <v>1128.4974750000001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5" t="s">
        <v>45</v>
      </c>
      <c r="B1" s="545"/>
      <c r="C1" s="545"/>
      <c r="D1" s="545"/>
      <c r="E1" s="545"/>
      <c r="F1" s="545"/>
      <c r="G1" s="545"/>
      <c r="H1" s="545"/>
      <c r="I1" s="545"/>
    </row>
    <row r="2" spans="1:9" ht="18.75" customHeight="1" x14ac:dyDescent="0.25">
      <c r="A2" s="545"/>
      <c r="B2" s="545"/>
      <c r="C2" s="545"/>
      <c r="D2" s="545"/>
      <c r="E2" s="545"/>
      <c r="F2" s="545"/>
      <c r="G2" s="545"/>
      <c r="H2" s="545"/>
      <c r="I2" s="545"/>
    </row>
    <row r="3" spans="1:9" ht="18.75" customHeight="1" x14ac:dyDescent="0.25">
      <c r="A3" s="545"/>
      <c r="B3" s="545"/>
      <c r="C3" s="545"/>
      <c r="D3" s="545"/>
      <c r="E3" s="545"/>
      <c r="F3" s="545"/>
      <c r="G3" s="545"/>
      <c r="H3" s="545"/>
      <c r="I3" s="545"/>
    </row>
    <row r="4" spans="1:9" ht="18.75" customHeight="1" x14ac:dyDescent="0.25">
      <c r="A4" s="545"/>
      <c r="B4" s="545"/>
      <c r="C4" s="545"/>
      <c r="D4" s="545"/>
      <c r="E4" s="545"/>
      <c r="F4" s="545"/>
      <c r="G4" s="545"/>
      <c r="H4" s="545"/>
      <c r="I4" s="545"/>
    </row>
    <row r="5" spans="1:9" ht="18.75" customHeight="1" x14ac:dyDescent="0.25">
      <c r="A5" s="545"/>
      <c r="B5" s="545"/>
      <c r="C5" s="545"/>
      <c r="D5" s="545"/>
      <c r="E5" s="545"/>
      <c r="F5" s="545"/>
      <c r="G5" s="545"/>
      <c r="H5" s="545"/>
      <c r="I5" s="545"/>
    </row>
    <row r="6" spans="1:9" ht="18.75" customHeight="1" x14ac:dyDescent="0.25">
      <c r="A6" s="545"/>
      <c r="B6" s="545"/>
      <c r="C6" s="545"/>
      <c r="D6" s="545"/>
      <c r="E6" s="545"/>
      <c r="F6" s="545"/>
      <c r="G6" s="545"/>
      <c r="H6" s="545"/>
      <c r="I6" s="545"/>
    </row>
    <row r="7" spans="1:9" ht="18.75" customHeight="1" x14ac:dyDescent="0.25">
      <c r="A7" s="545"/>
      <c r="B7" s="545"/>
      <c r="C7" s="545"/>
      <c r="D7" s="545"/>
      <c r="E7" s="545"/>
      <c r="F7" s="545"/>
      <c r="G7" s="545"/>
      <c r="H7" s="545"/>
      <c r="I7" s="545"/>
    </row>
    <row r="8" spans="1:9" x14ac:dyDescent="0.25">
      <c r="A8" s="546" t="s">
        <v>46</v>
      </c>
      <c r="B8" s="546"/>
      <c r="C8" s="546"/>
      <c r="D8" s="546"/>
      <c r="E8" s="546"/>
      <c r="F8" s="546"/>
      <c r="G8" s="546"/>
      <c r="H8" s="546"/>
      <c r="I8" s="546"/>
    </row>
    <row r="9" spans="1:9" x14ac:dyDescent="0.25">
      <c r="A9" s="546"/>
      <c r="B9" s="546"/>
      <c r="C9" s="546"/>
      <c r="D9" s="546"/>
      <c r="E9" s="546"/>
      <c r="F9" s="546"/>
      <c r="G9" s="546"/>
      <c r="H9" s="546"/>
      <c r="I9" s="546"/>
    </row>
    <row r="10" spans="1:9" x14ac:dyDescent="0.25">
      <c r="A10" s="546"/>
      <c r="B10" s="546"/>
      <c r="C10" s="546"/>
      <c r="D10" s="546"/>
      <c r="E10" s="546"/>
      <c r="F10" s="546"/>
      <c r="G10" s="546"/>
      <c r="H10" s="546"/>
      <c r="I10" s="546"/>
    </row>
    <row r="11" spans="1:9" x14ac:dyDescent="0.25">
      <c r="A11" s="546"/>
      <c r="B11" s="546"/>
      <c r="C11" s="546"/>
      <c r="D11" s="546"/>
      <c r="E11" s="546"/>
      <c r="F11" s="546"/>
      <c r="G11" s="546"/>
      <c r="H11" s="546"/>
      <c r="I11" s="546"/>
    </row>
    <row r="12" spans="1:9" x14ac:dyDescent="0.25">
      <c r="A12" s="546"/>
      <c r="B12" s="546"/>
      <c r="C12" s="546"/>
      <c r="D12" s="546"/>
      <c r="E12" s="546"/>
      <c r="F12" s="546"/>
      <c r="G12" s="546"/>
      <c r="H12" s="546"/>
      <c r="I12" s="546"/>
    </row>
    <row r="13" spans="1:9" x14ac:dyDescent="0.25">
      <c r="A13" s="546"/>
      <c r="B13" s="546"/>
      <c r="C13" s="546"/>
      <c r="D13" s="546"/>
      <c r="E13" s="546"/>
      <c r="F13" s="546"/>
      <c r="G13" s="546"/>
      <c r="H13" s="546"/>
      <c r="I13" s="546"/>
    </row>
    <row r="14" spans="1:9" x14ac:dyDescent="0.25">
      <c r="A14" s="546"/>
      <c r="B14" s="546"/>
      <c r="C14" s="546"/>
      <c r="D14" s="546"/>
      <c r="E14" s="546"/>
      <c r="F14" s="546"/>
      <c r="G14" s="546"/>
      <c r="H14" s="546"/>
      <c r="I14" s="546"/>
    </row>
    <row r="15" spans="1:9" ht="19.5" customHeight="1" x14ac:dyDescent="0.3">
      <c r="A15" s="50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52" t="s">
        <v>33</v>
      </c>
      <c r="B18" s="517" t="s">
        <v>5</v>
      </c>
      <c r="C18" s="517"/>
      <c r="D18" s="197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22" t="s">
        <v>131</v>
      </c>
      <c r="C20" s="52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22" t="s">
        <v>131</v>
      </c>
      <c r="C21" s="522"/>
      <c r="D21" s="522"/>
      <c r="E21" s="522"/>
      <c r="F21" s="522"/>
      <c r="G21" s="522"/>
      <c r="H21" s="52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17" t="s">
        <v>132</v>
      </c>
      <c r="C26" s="517"/>
    </row>
    <row r="27" spans="1:14" ht="26.25" customHeight="1" x14ac:dyDescent="0.4">
      <c r="A27" s="61" t="s">
        <v>48</v>
      </c>
      <c r="B27" s="523" t="s">
        <v>133</v>
      </c>
      <c r="C27" s="523"/>
    </row>
    <row r="28" spans="1:14" ht="27" customHeight="1" x14ac:dyDescent="0.4">
      <c r="A28" s="61" t="s">
        <v>6</v>
      </c>
      <c r="B28" s="62">
        <v>99.7</v>
      </c>
    </row>
    <row r="29" spans="1:14" s="3" customFormat="1" ht="27" customHeight="1" x14ac:dyDescent="0.4">
      <c r="A29" s="61" t="s">
        <v>49</v>
      </c>
      <c r="B29" s="63"/>
      <c r="C29" s="524" t="s">
        <v>50</v>
      </c>
      <c r="D29" s="525"/>
      <c r="E29" s="525"/>
      <c r="F29" s="525"/>
      <c r="G29" s="52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27" t="s">
        <v>53</v>
      </c>
      <c r="D31" s="528"/>
      <c r="E31" s="528"/>
      <c r="F31" s="528"/>
      <c r="G31" s="528"/>
      <c r="H31" s="52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27" t="s">
        <v>55</v>
      </c>
      <c r="D32" s="528"/>
      <c r="E32" s="528"/>
      <c r="F32" s="528"/>
      <c r="G32" s="528"/>
      <c r="H32" s="52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530" t="s">
        <v>59</v>
      </c>
      <c r="E36" s="531"/>
      <c r="F36" s="530" t="s">
        <v>60</v>
      </c>
      <c r="G36" s="53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428">
        <v>2778373</v>
      </c>
      <c r="E38" s="84">
        <f>IF(ISBLANK(D38),"-",$D$48/$D$45*D38)</f>
        <v>2481507.7467487054</v>
      </c>
      <c r="F38" s="430">
        <v>2519748</v>
      </c>
      <c r="G38" s="85">
        <f>IF(ISBLANK(F38),"-",$D$48/$F$45*F38)</f>
        <v>2496128.3851554664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429">
        <v>2823837</v>
      </c>
      <c r="E39" s="89">
        <f>IF(ISBLANK(D39),"-",$D$48/$D$45*D39)</f>
        <v>2522113.9821959198</v>
      </c>
      <c r="F39" s="431">
        <v>2528860</v>
      </c>
      <c r="G39" s="90">
        <f>IF(ISBLANK(F39),"-",$D$48/$F$45*F39)</f>
        <v>2505154.9710860979</v>
      </c>
      <c r="I39" s="534">
        <f>ABS((F43/D43*D42)-F42)/D42</f>
        <v>3.3221657788246703E-3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429">
        <v>2808110</v>
      </c>
      <c r="E40" s="89">
        <f>IF(ISBLANK(D40),"-",$D$48/$D$45*D40)</f>
        <v>2508067.3900597608</v>
      </c>
      <c r="F40" s="431">
        <v>2506220</v>
      </c>
      <c r="G40" s="90">
        <f>IF(ISBLANK(F40),"-",$D$48/$F$45*F40)</f>
        <v>2482727.1939274613</v>
      </c>
      <c r="I40" s="534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280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7" t="s">
        <v>71</v>
      </c>
      <c r="D42" s="98">
        <f>AVERAGE(D38:D41)</f>
        <v>2803440</v>
      </c>
      <c r="E42" s="99">
        <f>AVERAGE(E38:E41)</f>
        <v>2503896.3730014623</v>
      </c>
      <c r="F42" s="98">
        <f>AVERAGE(F38:F41)</f>
        <v>2518276</v>
      </c>
      <c r="G42" s="100">
        <f>AVERAGE(G38:G41)</f>
        <v>2494670.1833896753</v>
      </c>
      <c r="H42" s="101"/>
    </row>
    <row r="43" spans="1:14" ht="26.25" customHeight="1" x14ac:dyDescent="0.4">
      <c r="A43" s="76" t="s">
        <v>72</v>
      </c>
      <c r="B43" s="77">
        <v>1</v>
      </c>
      <c r="C43" s="102" t="s">
        <v>73</v>
      </c>
      <c r="D43" s="103">
        <v>22.46</v>
      </c>
      <c r="E43" s="91"/>
      <c r="F43" s="103">
        <v>20.25</v>
      </c>
      <c r="H43" s="101"/>
    </row>
    <row r="44" spans="1:14" ht="26.25" customHeight="1" x14ac:dyDescent="0.4">
      <c r="A44" s="76" t="s">
        <v>74</v>
      </c>
      <c r="B44" s="77">
        <v>1</v>
      </c>
      <c r="C44" s="104" t="s">
        <v>75</v>
      </c>
      <c r="D44" s="105">
        <f>D43*$B$34</f>
        <v>22.46</v>
      </c>
      <c r="E44" s="106"/>
      <c r="F44" s="105">
        <f>F43*$B$34</f>
        <v>20.25</v>
      </c>
      <c r="H44" s="101"/>
    </row>
    <row r="45" spans="1:14" ht="19.5" customHeight="1" x14ac:dyDescent="0.3">
      <c r="A45" s="76" t="s">
        <v>76</v>
      </c>
      <c r="B45" s="107">
        <f>(B44/B43)*(B42/B41)*(B40/B39)*(B38/B37)*B36</f>
        <v>625</v>
      </c>
      <c r="C45" s="104" t="s">
        <v>77</v>
      </c>
      <c r="D45" s="108">
        <f>D44*$B$30/100</f>
        <v>22.392620000000001</v>
      </c>
      <c r="E45" s="109"/>
      <c r="F45" s="108">
        <f>F44*$B$30/100</f>
        <v>20.189250000000001</v>
      </c>
      <c r="H45" s="101"/>
    </row>
    <row r="46" spans="1:14" ht="19.5" customHeight="1" x14ac:dyDescent="0.3">
      <c r="A46" s="535" t="s">
        <v>78</v>
      </c>
      <c r="B46" s="536"/>
      <c r="C46" s="104" t="s">
        <v>79</v>
      </c>
      <c r="D46" s="110">
        <f>D45/$B$45</f>
        <v>3.5828192000000002E-2</v>
      </c>
      <c r="E46" s="111"/>
      <c r="F46" s="112">
        <f>F45/$B$45</f>
        <v>3.23028E-2</v>
      </c>
      <c r="H46" s="101"/>
    </row>
    <row r="47" spans="1:14" ht="27" customHeight="1" x14ac:dyDescent="0.4">
      <c r="A47" s="537"/>
      <c r="B47" s="538"/>
      <c r="C47" s="113" t="s">
        <v>80</v>
      </c>
      <c r="D47" s="114">
        <v>3.2000000000000001E-2</v>
      </c>
      <c r="E47" s="115"/>
      <c r="F47" s="111"/>
      <c r="H47" s="101"/>
    </row>
    <row r="48" spans="1:14" ht="18.75" x14ac:dyDescent="0.3">
      <c r="C48" s="116" t="s">
        <v>81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82</v>
      </c>
      <c r="D49" s="119">
        <f>D48/B34</f>
        <v>20</v>
      </c>
      <c r="F49" s="117"/>
      <c r="H49" s="101"/>
    </row>
    <row r="50" spans="1:12" ht="18.75" x14ac:dyDescent="0.3">
      <c r="C50" s="74" t="s">
        <v>83</v>
      </c>
      <c r="D50" s="120">
        <f>AVERAGE(E38:E41,G38:G41)</f>
        <v>2499283.2781955688</v>
      </c>
      <c r="F50" s="121"/>
      <c r="H50" s="101"/>
    </row>
    <row r="51" spans="1:12" ht="18.75" x14ac:dyDescent="0.3">
      <c r="C51" s="76" t="s">
        <v>84</v>
      </c>
      <c r="D51" s="122">
        <f>STDEV(E38:E41,G38:G41)/D50</f>
        <v>6.2829609900289518E-3</v>
      </c>
      <c r="F51" s="121"/>
      <c r="H51" s="101"/>
    </row>
    <row r="52" spans="1:12" ht="19.5" customHeight="1" x14ac:dyDescent="0.3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51" t="s">
        <v>86</v>
      </c>
      <c r="B55" s="127" t="str">
        <f>B21</f>
        <v>Each tablet contains: Trimethoprim BP 160 mg.</v>
      </c>
    </row>
    <row r="56" spans="1:12" ht="26.25" customHeight="1" x14ac:dyDescent="0.4">
      <c r="A56" s="128" t="s">
        <v>87</v>
      </c>
      <c r="B56" s="129">
        <v>160</v>
      </c>
      <c r="C56" s="51" t="str">
        <f>B20</f>
        <v>Each tablet contains: Trimethoprim BP 160 mg.</v>
      </c>
      <c r="H56" s="130"/>
    </row>
    <row r="57" spans="1:12" ht="18.75" x14ac:dyDescent="0.3">
      <c r="A57" s="127" t="s">
        <v>88</v>
      </c>
      <c r="B57" s="198">
        <f>Uniformity!C46</f>
        <v>1074.7595000000001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539" t="s">
        <v>94</v>
      </c>
      <c r="D60" s="542">
        <v>1082.18</v>
      </c>
      <c r="E60" s="133">
        <v>1</v>
      </c>
      <c r="F60" s="134"/>
      <c r="G60" s="199" t="str">
        <f>IF(ISBLANK(F60),"-",(F60/$D$50*$D$47*$B$68)*($B$57/$D$60))</f>
        <v>-</v>
      </c>
      <c r="H60" s="217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540"/>
      <c r="D61" s="543"/>
      <c r="E61" s="135">
        <v>2</v>
      </c>
      <c r="F61" s="88">
        <v>2468036</v>
      </c>
      <c r="G61" s="200">
        <f>IF(ISBLANK(F61),"-",(F61/$D$50*$D$47*$B$68)*($B$57/$D$60))</f>
        <v>156.91619864751198</v>
      </c>
      <c r="H61" s="218">
        <f t="shared" si="0"/>
        <v>98.072624154694992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0"/>
      <c r="D62" s="543"/>
      <c r="E62" s="135">
        <v>3</v>
      </c>
      <c r="F62" s="136">
        <v>2472946</v>
      </c>
      <c r="G62" s="200">
        <f>IF(ISBLANK(F62),"-",(F62/$D$50*$D$47*$B$68)*($B$57/$D$60))</f>
        <v>157.22837340321217</v>
      </c>
      <c r="H62" s="218">
        <f t="shared" si="0"/>
        <v>98.267733377007602</v>
      </c>
      <c r="L62" s="64"/>
    </row>
    <row r="63" spans="1:12" ht="27" customHeight="1" x14ac:dyDescent="0.4">
      <c r="A63" s="76" t="s">
        <v>97</v>
      </c>
      <c r="B63" s="77">
        <v>1</v>
      </c>
      <c r="C63" s="541"/>
      <c r="D63" s="544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39" t="s">
        <v>99</v>
      </c>
      <c r="D64" s="542">
        <v>1064.01</v>
      </c>
      <c r="E64" s="133">
        <v>1</v>
      </c>
      <c r="F64" s="134">
        <v>2369840</v>
      </c>
      <c r="G64" s="199">
        <f>IF(ISBLANK(F64),"-",(F64/$D$50*$D$47*$B$68)*($B$57/$D$64))</f>
        <v>153.24598596556945</v>
      </c>
      <c r="H64" s="217">
        <f t="shared" si="0"/>
        <v>95.778741228480897</v>
      </c>
    </row>
    <row r="65" spans="1:8" ht="26.25" customHeight="1" x14ac:dyDescent="0.4">
      <c r="A65" s="76" t="s">
        <v>100</v>
      </c>
      <c r="B65" s="77">
        <v>1</v>
      </c>
      <c r="C65" s="540"/>
      <c r="D65" s="543"/>
      <c r="E65" s="135">
        <v>2</v>
      </c>
      <c r="F65" s="88">
        <v>2382192</v>
      </c>
      <c r="G65" s="200">
        <f>IF(ISBLANK(F65),"-",(F65/$D$50*$D$47*$B$68)*($B$57/$D$64))</f>
        <v>154.04472951730571</v>
      </c>
      <c r="H65" s="218">
        <f t="shared" si="0"/>
        <v>96.277955948316077</v>
      </c>
    </row>
    <row r="66" spans="1:8" ht="26.25" customHeight="1" x14ac:dyDescent="0.4">
      <c r="A66" s="76" t="s">
        <v>101</v>
      </c>
      <c r="B66" s="77">
        <v>1</v>
      </c>
      <c r="C66" s="540"/>
      <c r="D66" s="543"/>
      <c r="E66" s="135">
        <v>3</v>
      </c>
      <c r="F66" s="88">
        <v>2387853</v>
      </c>
      <c r="G66" s="200">
        <f>IF(ISBLANK(F66),"-",(F66/$D$50*$D$47*$B$68)*($B$57/$D$64))</f>
        <v>154.4107987568118</v>
      </c>
      <c r="H66" s="218">
        <f t="shared" si="0"/>
        <v>96.506749223007375</v>
      </c>
    </row>
    <row r="67" spans="1:8" ht="27" customHeight="1" x14ac:dyDescent="0.4">
      <c r="A67" s="76" t="s">
        <v>102</v>
      </c>
      <c r="B67" s="77">
        <v>1</v>
      </c>
      <c r="C67" s="541"/>
      <c r="D67" s="544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103</v>
      </c>
      <c r="B68" s="139">
        <f>(B67/B66)*(B65/B64)*(B63/B62)*(B61/B60)*B59</f>
        <v>5000</v>
      </c>
      <c r="C68" s="539" t="s">
        <v>104</v>
      </c>
      <c r="D68" s="542">
        <v>1076.42</v>
      </c>
      <c r="E68" s="133">
        <v>1</v>
      </c>
      <c r="F68" s="134">
        <v>2418405</v>
      </c>
      <c r="G68" s="199">
        <f>IF(ISBLANK(F68),"-",(F68/$D$50*$D$47*$B$68)*($B$57/$D$68))</f>
        <v>154.5834748333167</v>
      </c>
      <c r="H68" s="218">
        <f t="shared" si="0"/>
        <v>96.614671770822937</v>
      </c>
    </row>
    <row r="69" spans="1:8" ht="27" customHeight="1" x14ac:dyDescent="0.4">
      <c r="A69" s="123" t="s">
        <v>105</v>
      </c>
      <c r="B69" s="140">
        <f>(D47*B68)/B56*B57</f>
        <v>1074.7595000000001</v>
      </c>
      <c r="C69" s="540"/>
      <c r="D69" s="543"/>
      <c r="E69" s="135">
        <v>2</v>
      </c>
      <c r="F69" s="88">
        <v>2427627</v>
      </c>
      <c r="G69" s="200">
        <f>IF(ISBLANK(F69),"-",(F69/$D$50*$D$47*$B$68)*($B$57/$D$68))</f>
        <v>155.17294136390726</v>
      </c>
      <c r="H69" s="218">
        <f t="shared" si="0"/>
        <v>96.983088352442039</v>
      </c>
    </row>
    <row r="70" spans="1:8" ht="26.25" customHeight="1" x14ac:dyDescent="0.4">
      <c r="A70" s="552" t="s">
        <v>78</v>
      </c>
      <c r="B70" s="553"/>
      <c r="C70" s="540"/>
      <c r="D70" s="543"/>
      <c r="E70" s="135">
        <v>3</v>
      </c>
      <c r="F70" s="88">
        <v>2431148</v>
      </c>
      <c r="G70" s="200">
        <f>IF(ISBLANK(F70),"-",(F70/$D$50*$D$47*$B$68)*($B$57/$D$68))</f>
        <v>155.39800226763845</v>
      </c>
      <c r="H70" s="218">
        <f t="shared" si="0"/>
        <v>97.123751417274036</v>
      </c>
    </row>
    <row r="71" spans="1:8" ht="27" customHeight="1" x14ac:dyDescent="0.4">
      <c r="A71" s="554"/>
      <c r="B71" s="555"/>
      <c r="C71" s="551"/>
      <c r="D71" s="544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71</v>
      </c>
      <c r="G72" s="205">
        <f>AVERAGE(G60:G71)</f>
        <v>155.1250630944092</v>
      </c>
      <c r="H72" s="220">
        <f>AVERAGE(H60:H71)</f>
        <v>96.953164434005743</v>
      </c>
    </row>
    <row r="73" spans="1:8" ht="26.25" customHeight="1" x14ac:dyDescent="0.4">
      <c r="C73" s="141"/>
      <c r="D73" s="141"/>
      <c r="E73" s="141"/>
      <c r="F73" s="144" t="s">
        <v>84</v>
      </c>
      <c r="G73" s="204">
        <f>STDEV(G60:G71)/G72</f>
        <v>8.855787507760525E-3</v>
      </c>
      <c r="H73" s="204">
        <f>STDEV(H60:H71)/H72</f>
        <v>8.8557875077605337E-3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20</v>
      </c>
      <c r="G74" s="147">
        <f>COUNT(G60:G71)</f>
        <v>8</v>
      </c>
      <c r="H74" s="147">
        <f>COUNT(H60:H71)</f>
        <v>8</v>
      </c>
    </row>
    <row r="76" spans="1:8" ht="26.25" customHeight="1" x14ac:dyDescent="0.4">
      <c r="A76" s="60" t="s">
        <v>106</v>
      </c>
      <c r="B76" s="148" t="s">
        <v>107</v>
      </c>
      <c r="C76" s="547" t="str">
        <f>B26</f>
        <v>Trimethoprim</v>
      </c>
      <c r="D76" s="547"/>
      <c r="E76" s="149" t="s">
        <v>108</v>
      </c>
      <c r="F76" s="149"/>
      <c r="G76" s="236">
        <f>H72</f>
        <v>96.953164434005743</v>
      </c>
      <c r="H76" s="151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33" t="str">
        <f>B26</f>
        <v>Trimethoprim</v>
      </c>
      <c r="C79" s="533"/>
    </row>
    <row r="80" spans="1:8" ht="26.25" customHeight="1" x14ac:dyDescent="0.4">
      <c r="A80" s="61" t="s">
        <v>48</v>
      </c>
      <c r="B80" s="533" t="str">
        <f>B27</f>
        <v>T7-5</v>
      </c>
      <c r="C80" s="533"/>
    </row>
    <row r="81" spans="1:12" ht="27" customHeight="1" x14ac:dyDescent="0.4">
      <c r="A81" s="61" t="s">
        <v>6</v>
      </c>
      <c r="B81" s="152">
        <f>B28</f>
        <v>99.7</v>
      </c>
    </row>
    <row r="82" spans="1:12" s="3" customFormat="1" ht="27" customHeight="1" x14ac:dyDescent="0.4">
      <c r="A82" s="61" t="s">
        <v>49</v>
      </c>
      <c r="B82" s="63">
        <v>0</v>
      </c>
      <c r="C82" s="524" t="s">
        <v>50</v>
      </c>
      <c r="D82" s="525"/>
      <c r="E82" s="525"/>
      <c r="F82" s="525"/>
      <c r="G82" s="52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27" t="s">
        <v>111</v>
      </c>
      <c r="D84" s="528"/>
      <c r="E84" s="528"/>
      <c r="F84" s="528"/>
      <c r="G84" s="528"/>
      <c r="H84" s="52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27" t="s">
        <v>112</v>
      </c>
      <c r="D85" s="528"/>
      <c r="E85" s="528"/>
      <c r="F85" s="528"/>
      <c r="G85" s="528"/>
      <c r="H85" s="52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3" t="s">
        <v>59</v>
      </c>
      <c r="E89" s="154"/>
      <c r="F89" s="530" t="s">
        <v>60</v>
      </c>
      <c r="G89" s="532"/>
    </row>
    <row r="90" spans="1:12" ht="27" customHeight="1" x14ac:dyDescent="0.4">
      <c r="A90" s="76" t="s">
        <v>61</v>
      </c>
      <c r="B90" s="77">
        <v>4</v>
      </c>
      <c r="C90" s="155" t="s">
        <v>62</v>
      </c>
      <c r="D90" s="79" t="s">
        <v>63</v>
      </c>
      <c r="E90" s="80" t="s">
        <v>64</v>
      </c>
      <c r="F90" s="79" t="s">
        <v>63</v>
      </c>
      <c r="G90" s="156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7">
        <v>1</v>
      </c>
      <c r="D91" s="428">
        <v>2778373</v>
      </c>
      <c r="E91" s="84">
        <f>IF(ISBLANK(D91),"-",$D$101/$D$98*D91)</f>
        <v>2757230.829720784</v>
      </c>
      <c r="F91" s="430">
        <v>2519748</v>
      </c>
      <c r="G91" s="85">
        <f>IF(ISBLANK(F91),"-",$D$101/$F$98*F91)</f>
        <v>2773475.9835060732</v>
      </c>
      <c r="I91" s="86"/>
    </row>
    <row r="92" spans="1:12" ht="26.25" customHeight="1" x14ac:dyDescent="0.4">
      <c r="A92" s="76" t="s">
        <v>67</v>
      </c>
      <c r="B92" s="77">
        <v>1</v>
      </c>
      <c r="C92" s="142">
        <v>2</v>
      </c>
      <c r="D92" s="429">
        <v>2823837</v>
      </c>
      <c r="E92" s="89">
        <f>IF(ISBLANK(D92),"-",$D$101/$D$98*D92)</f>
        <v>2802348.8691065777</v>
      </c>
      <c r="F92" s="431">
        <v>2528860</v>
      </c>
      <c r="G92" s="90">
        <f>IF(ISBLANK(F92),"-",$D$101/$F$98*F92)</f>
        <v>2783505.523428997</v>
      </c>
      <c r="I92" s="534">
        <f>ABS((F96/D96*D95)-F95)/D95</f>
        <v>3.3221657788246703E-3</v>
      </c>
    </row>
    <row r="93" spans="1:12" ht="26.25" customHeight="1" x14ac:dyDescent="0.4">
      <c r="A93" s="76" t="s">
        <v>68</v>
      </c>
      <c r="B93" s="77">
        <v>1</v>
      </c>
      <c r="C93" s="142">
        <v>3</v>
      </c>
      <c r="D93" s="429">
        <v>2808110</v>
      </c>
      <c r="E93" s="89">
        <f>IF(ISBLANK(D93),"-",$D$101/$D$98*D93)</f>
        <v>2786741.5445108451</v>
      </c>
      <c r="F93" s="431">
        <v>2506220</v>
      </c>
      <c r="G93" s="90">
        <f>IF(ISBLANK(F93),"-",$D$101/$F$98*F93)</f>
        <v>2758585.7710305122</v>
      </c>
      <c r="I93" s="534"/>
    </row>
    <row r="94" spans="1:12" ht="27" customHeight="1" x14ac:dyDescent="0.4">
      <c r="A94" s="76" t="s">
        <v>69</v>
      </c>
      <c r="B94" s="77">
        <v>1</v>
      </c>
      <c r="C94" s="158">
        <v>4</v>
      </c>
      <c r="D94" s="93"/>
      <c r="E94" s="94" t="str">
        <f>IF(ISBLANK(D94),"-",$D$101/$D$98*D94)</f>
        <v>-</v>
      </c>
      <c r="F94" s="159"/>
      <c r="G94" s="95" t="str">
        <f>IF(ISBLANK(F94),"-",$D$101/$F$98*F94)</f>
        <v>-</v>
      </c>
      <c r="I94" s="96"/>
    </row>
    <row r="95" spans="1:12" ht="27" customHeight="1" x14ac:dyDescent="0.4">
      <c r="A95" s="76" t="s">
        <v>70</v>
      </c>
      <c r="B95" s="77">
        <v>1</v>
      </c>
      <c r="C95" s="160" t="s">
        <v>71</v>
      </c>
      <c r="D95" s="161">
        <f>AVERAGE(D91:D94)</f>
        <v>2803440</v>
      </c>
      <c r="E95" s="99">
        <f>AVERAGE(E91:E94)</f>
        <v>2782107.0811127354</v>
      </c>
      <c r="F95" s="162">
        <f>AVERAGE(F91:F94)</f>
        <v>2518276</v>
      </c>
      <c r="G95" s="163">
        <f>AVERAGE(G91:G94)</f>
        <v>2771855.759321861</v>
      </c>
    </row>
    <row r="96" spans="1:12" ht="26.25" customHeight="1" x14ac:dyDescent="0.4">
      <c r="A96" s="76" t="s">
        <v>72</v>
      </c>
      <c r="B96" s="62">
        <v>1</v>
      </c>
      <c r="C96" s="164" t="s">
        <v>113</v>
      </c>
      <c r="D96" s="165">
        <v>22.46</v>
      </c>
      <c r="E96" s="91"/>
      <c r="F96" s="103">
        <v>20.25</v>
      </c>
    </row>
    <row r="97" spans="1:10" ht="26.25" customHeight="1" x14ac:dyDescent="0.4">
      <c r="A97" s="76" t="s">
        <v>74</v>
      </c>
      <c r="B97" s="62">
        <v>1</v>
      </c>
      <c r="C97" s="166" t="s">
        <v>114</v>
      </c>
      <c r="D97" s="167">
        <f>D96*$B$87</f>
        <v>22.46</v>
      </c>
      <c r="E97" s="106"/>
      <c r="F97" s="105">
        <f>F96*$B$87</f>
        <v>20.25</v>
      </c>
    </row>
    <row r="98" spans="1:10" ht="19.5" customHeight="1" x14ac:dyDescent="0.3">
      <c r="A98" s="76" t="s">
        <v>76</v>
      </c>
      <c r="B98" s="168">
        <f>(B97/B96)*(B95/B94)*(B93/B92)*(B91/B90)*B89</f>
        <v>625</v>
      </c>
      <c r="C98" s="166" t="s">
        <v>115</v>
      </c>
      <c r="D98" s="169">
        <f>D97*$B$83/100</f>
        <v>22.392620000000001</v>
      </c>
      <c r="E98" s="109"/>
      <c r="F98" s="108">
        <f>F97*$B$83/100</f>
        <v>20.189250000000001</v>
      </c>
    </row>
    <row r="99" spans="1:10" ht="19.5" customHeight="1" x14ac:dyDescent="0.3">
      <c r="A99" s="535" t="s">
        <v>78</v>
      </c>
      <c r="B99" s="549"/>
      <c r="C99" s="166" t="s">
        <v>116</v>
      </c>
      <c r="D99" s="170">
        <f>D98/$B$98</f>
        <v>3.5828192000000002E-2</v>
      </c>
      <c r="E99" s="109"/>
      <c r="F99" s="112">
        <f>F98/$B$98</f>
        <v>3.23028E-2</v>
      </c>
      <c r="G99" s="171"/>
      <c r="H99" s="101"/>
    </row>
    <row r="100" spans="1:10" ht="19.5" customHeight="1" x14ac:dyDescent="0.3">
      <c r="A100" s="537"/>
      <c r="B100" s="550"/>
      <c r="C100" s="166" t="s">
        <v>80</v>
      </c>
      <c r="D100" s="172">
        <f>$B$56/$B$116</f>
        <v>3.5555555555555556E-2</v>
      </c>
      <c r="F100" s="117"/>
      <c r="G100" s="173"/>
      <c r="H100" s="101"/>
    </row>
    <row r="101" spans="1:10" ht="18.75" x14ac:dyDescent="0.3">
      <c r="C101" s="166" t="s">
        <v>81</v>
      </c>
      <c r="D101" s="167">
        <f>D100*$B$98</f>
        <v>22.222222222222221</v>
      </c>
      <c r="F101" s="117"/>
      <c r="G101" s="171"/>
      <c r="H101" s="101"/>
    </row>
    <row r="102" spans="1:10" ht="19.5" customHeight="1" x14ac:dyDescent="0.3">
      <c r="C102" s="174" t="s">
        <v>82</v>
      </c>
      <c r="D102" s="175">
        <f>D101/B34</f>
        <v>22.222222222222221</v>
      </c>
      <c r="F102" s="121"/>
      <c r="G102" s="171"/>
      <c r="H102" s="101"/>
      <c r="J102" s="176"/>
    </row>
    <row r="103" spans="1:10" ht="18.75" x14ac:dyDescent="0.3">
      <c r="C103" s="177" t="s">
        <v>117</v>
      </c>
      <c r="D103" s="178">
        <f>AVERAGE(E91:E94,G91:G94)</f>
        <v>2776981.4202172984</v>
      </c>
      <c r="F103" s="121"/>
      <c r="G103" s="179"/>
      <c r="H103" s="101"/>
      <c r="J103" s="180"/>
    </row>
    <row r="104" spans="1:10" ht="18.75" x14ac:dyDescent="0.3">
      <c r="C104" s="144" t="s">
        <v>84</v>
      </c>
      <c r="D104" s="181">
        <f>STDEV(E91:E94,G91:G94)/D103</f>
        <v>6.2829609900289579E-3</v>
      </c>
      <c r="F104" s="121"/>
      <c r="G104" s="171"/>
      <c r="H104" s="101"/>
      <c r="J104" s="180"/>
    </row>
    <row r="105" spans="1:10" ht="19.5" customHeight="1" x14ac:dyDescent="0.3">
      <c r="C105" s="146" t="s">
        <v>20</v>
      </c>
      <c r="D105" s="182">
        <f>COUNT(E91:E94,G91:G94)</f>
        <v>6</v>
      </c>
      <c r="F105" s="121"/>
      <c r="G105" s="171"/>
      <c r="H105" s="101"/>
      <c r="J105" s="180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7" customHeight="1" x14ac:dyDescent="0.4">
      <c r="A107" s="74" t="s">
        <v>118</v>
      </c>
      <c r="B107" s="75">
        <v>900</v>
      </c>
      <c r="C107" s="221" t="s">
        <v>119</v>
      </c>
      <c r="D107" s="221" t="s">
        <v>63</v>
      </c>
      <c r="E107" s="221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4</v>
      </c>
      <c r="C108" s="226">
        <v>1</v>
      </c>
      <c r="D108" s="227">
        <v>2800553</v>
      </c>
      <c r="E108" s="201">
        <f t="shared" ref="E108:E113" si="1">IF(ISBLANK(D108),"-",D108/$D$103*$D$100*$B$116)</f>
        <v>161.35811235097754</v>
      </c>
      <c r="F108" s="228">
        <f t="shared" ref="F108:F113" si="2">IF(ISBLANK(D108), "-", (E108/$B$56)*100)</f>
        <v>100.84882021936097</v>
      </c>
    </row>
    <row r="109" spans="1:10" ht="26.25" customHeight="1" x14ac:dyDescent="0.4">
      <c r="A109" s="76" t="s">
        <v>95</v>
      </c>
      <c r="B109" s="77">
        <v>20</v>
      </c>
      <c r="C109" s="222">
        <v>2</v>
      </c>
      <c r="D109" s="224">
        <v>2788781</v>
      </c>
      <c r="E109" s="202">
        <f t="shared" si="1"/>
        <v>160.6798507010121</v>
      </c>
      <c r="F109" s="229">
        <f t="shared" si="2"/>
        <v>100.42490668813255</v>
      </c>
    </row>
    <row r="110" spans="1:10" ht="26.25" customHeight="1" x14ac:dyDescent="0.4">
      <c r="A110" s="76" t="s">
        <v>96</v>
      </c>
      <c r="B110" s="77">
        <v>1</v>
      </c>
      <c r="C110" s="222">
        <v>3</v>
      </c>
      <c r="D110" s="224">
        <v>2803649</v>
      </c>
      <c r="E110" s="202">
        <f t="shared" si="1"/>
        <v>161.53649309072381</v>
      </c>
      <c r="F110" s="229">
        <f t="shared" si="2"/>
        <v>100.96030818170239</v>
      </c>
    </row>
    <row r="111" spans="1:10" ht="26.25" customHeight="1" x14ac:dyDescent="0.4">
      <c r="A111" s="76" t="s">
        <v>97</v>
      </c>
      <c r="B111" s="77">
        <v>1</v>
      </c>
      <c r="C111" s="222">
        <v>4</v>
      </c>
      <c r="D111" s="224">
        <v>2801577</v>
      </c>
      <c r="E111" s="202">
        <f t="shared" si="1"/>
        <v>161.41711166541558</v>
      </c>
      <c r="F111" s="229">
        <f t="shared" si="2"/>
        <v>100.88569479088474</v>
      </c>
    </row>
    <row r="112" spans="1:10" ht="26.25" customHeight="1" x14ac:dyDescent="0.4">
      <c r="A112" s="76" t="s">
        <v>98</v>
      </c>
      <c r="B112" s="77">
        <v>1</v>
      </c>
      <c r="C112" s="222">
        <v>5</v>
      </c>
      <c r="D112" s="224">
        <v>2788395</v>
      </c>
      <c r="E112" s="202">
        <f t="shared" si="1"/>
        <v>160.6576107250618</v>
      </c>
      <c r="F112" s="229">
        <f t="shared" si="2"/>
        <v>100.41100670316364</v>
      </c>
    </row>
    <row r="113" spans="1:10" ht="27" customHeight="1" x14ac:dyDescent="0.4">
      <c r="A113" s="76" t="s">
        <v>100</v>
      </c>
      <c r="B113" s="77">
        <v>1</v>
      </c>
      <c r="C113" s="223">
        <v>6</v>
      </c>
      <c r="D113" s="225">
        <v>2799532</v>
      </c>
      <c r="E113" s="203">
        <f t="shared" si="1"/>
        <v>161.29928588609351</v>
      </c>
      <c r="F113" s="230">
        <f t="shared" si="2"/>
        <v>100.81205367880845</v>
      </c>
    </row>
    <row r="114" spans="1:10" ht="27" customHeight="1" x14ac:dyDescent="0.4">
      <c r="A114" s="76" t="s">
        <v>101</v>
      </c>
      <c r="B114" s="77">
        <v>1</v>
      </c>
      <c r="C114" s="184"/>
      <c r="D114" s="142"/>
      <c r="E114" s="50"/>
      <c r="F114" s="231"/>
    </row>
    <row r="115" spans="1:10" ht="26.25" customHeight="1" x14ac:dyDescent="0.4">
      <c r="A115" s="76" t="s">
        <v>102</v>
      </c>
      <c r="B115" s="77">
        <v>1</v>
      </c>
      <c r="C115" s="184"/>
      <c r="D115" s="208" t="s">
        <v>71</v>
      </c>
      <c r="E115" s="210">
        <f>AVERAGE(E108:E113)</f>
        <v>161.15807740321407</v>
      </c>
      <c r="F115" s="232">
        <f>AVERAGE(F108:F113)</f>
        <v>100.72379837700879</v>
      </c>
    </row>
    <row r="116" spans="1:10" ht="27" customHeight="1" x14ac:dyDescent="0.4">
      <c r="A116" s="76" t="s">
        <v>103</v>
      </c>
      <c r="B116" s="107">
        <f>(B115/B114)*(B113/B112)*(B111/B110)*(B109/B108)*B107</f>
        <v>4500</v>
      </c>
      <c r="C116" s="185"/>
      <c r="D116" s="209" t="s">
        <v>84</v>
      </c>
      <c r="E116" s="207">
        <f>STDEV(E108:E113)/E115</f>
        <v>2.4022885700621765E-3</v>
      </c>
      <c r="F116" s="186">
        <f>STDEV(F108:F113)/F115</f>
        <v>2.4022885700622186E-3</v>
      </c>
      <c r="I116" s="50"/>
    </row>
    <row r="117" spans="1:10" ht="27" customHeight="1" x14ac:dyDescent="0.4">
      <c r="A117" s="535" t="s">
        <v>78</v>
      </c>
      <c r="B117" s="536"/>
      <c r="C117" s="187"/>
      <c r="D117" s="146" t="s">
        <v>20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537"/>
      <c r="B118" s="538"/>
      <c r="C118" s="50"/>
      <c r="D118" s="211"/>
      <c r="E118" s="515" t="s">
        <v>123</v>
      </c>
      <c r="F118" s="516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124</v>
      </c>
      <c r="E119" s="214">
        <f>MIN(E108:E113)</f>
        <v>160.6576107250618</v>
      </c>
      <c r="F119" s="233">
        <f>MIN(F108:F113)</f>
        <v>100.41100670316364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8" t="s">
        <v>125</v>
      </c>
      <c r="E120" s="215">
        <f>MAX(E108:E113)</f>
        <v>161.53649309072381</v>
      </c>
      <c r="F120" s="234">
        <f>MAX(F108:F113)</f>
        <v>100.96030818170239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106</v>
      </c>
      <c r="B124" s="148" t="s">
        <v>126</v>
      </c>
      <c r="C124" s="547" t="str">
        <f>B26</f>
        <v>Trimethoprim</v>
      </c>
      <c r="D124" s="547"/>
      <c r="E124" s="149" t="s">
        <v>127</v>
      </c>
      <c r="F124" s="149"/>
      <c r="G124" s="235">
        <f>F115</f>
        <v>100.72379837700879</v>
      </c>
      <c r="H124" s="50"/>
      <c r="I124" s="50"/>
    </row>
    <row r="125" spans="1:10" ht="45.75" customHeight="1" x14ac:dyDescent="0.65">
      <c r="A125" s="60"/>
      <c r="B125" s="148" t="s">
        <v>128</v>
      </c>
      <c r="C125" s="61" t="s">
        <v>129</v>
      </c>
      <c r="D125" s="235">
        <f>MIN(F108:F113)</f>
        <v>100.41100670316364</v>
      </c>
      <c r="E125" s="160" t="s">
        <v>130</v>
      </c>
      <c r="F125" s="235">
        <f>MAX(F108:F113)</f>
        <v>100.96030818170239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548" t="s">
        <v>26</v>
      </c>
      <c r="C127" s="548"/>
      <c r="E127" s="155" t="s">
        <v>27</v>
      </c>
      <c r="F127" s="190"/>
      <c r="G127" s="548" t="s">
        <v>28</v>
      </c>
      <c r="H127" s="548"/>
    </row>
    <row r="128" spans="1:10" ht="69.95" customHeight="1" x14ac:dyDescent="0.3">
      <c r="A128" s="191" t="s">
        <v>29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30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60" zoomScaleNormal="40" zoomScalePageLayoutView="60" workbookViewId="0">
      <selection activeCell="B44" sqref="B4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5" t="s">
        <v>45</v>
      </c>
      <c r="B1" s="545"/>
      <c r="C1" s="545"/>
      <c r="D1" s="545"/>
      <c r="E1" s="545"/>
      <c r="F1" s="545"/>
      <c r="G1" s="545"/>
      <c r="H1" s="545"/>
      <c r="I1" s="545"/>
    </row>
    <row r="2" spans="1:9" ht="18.75" customHeight="1" x14ac:dyDescent="0.25">
      <c r="A2" s="545"/>
      <c r="B2" s="545"/>
      <c r="C2" s="545"/>
      <c r="D2" s="545"/>
      <c r="E2" s="545"/>
      <c r="F2" s="545"/>
      <c r="G2" s="545"/>
      <c r="H2" s="545"/>
      <c r="I2" s="545"/>
    </row>
    <row r="3" spans="1:9" ht="18.75" customHeight="1" x14ac:dyDescent="0.25">
      <c r="A3" s="545"/>
      <c r="B3" s="545"/>
      <c r="C3" s="545"/>
      <c r="D3" s="545"/>
      <c r="E3" s="545"/>
      <c r="F3" s="545"/>
      <c r="G3" s="545"/>
      <c r="H3" s="545"/>
      <c r="I3" s="545"/>
    </row>
    <row r="4" spans="1:9" ht="18.75" customHeight="1" x14ac:dyDescent="0.25">
      <c r="A4" s="545"/>
      <c r="B4" s="545"/>
      <c r="C4" s="545"/>
      <c r="D4" s="545"/>
      <c r="E4" s="545"/>
      <c r="F4" s="545"/>
      <c r="G4" s="545"/>
      <c r="H4" s="545"/>
      <c r="I4" s="545"/>
    </row>
    <row r="5" spans="1:9" ht="18.75" customHeight="1" x14ac:dyDescent="0.25">
      <c r="A5" s="545"/>
      <c r="B5" s="545"/>
      <c r="C5" s="545"/>
      <c r="D5" s="545"/>
      <c r="E5" s="545"/>
      <c r="F5" s="545"/>
      <c r="G5" s="545"/>
      <c r="H5" s="545"/>
      <c r="I5" s="545"/>
    </row>
    <row r="6" spans="1:9" ht="18.75" customHeight="1" x14ac:dyDescent="0.25">
      <c r="A6" s="545"/>
      <c r="B6" s="545"/>
      <c r="C6" s="545"/>
      <c r="D6" s="545"/>
      <c r="E6" s="545"/>
      <c r="F6" s="545"/>
      <c r="G6" s="545"/>
      <c r="H6" s="545"/>
      <c r="I6" s="545"/>
    </row>
    <row r="7" spans="1:9" ht="18.75" customHeight="1" x14ac:dyDescent="0.25">
      <c r="A7" s="545"/>
      <c r="B7" s="545"/>
      <c r="C7" s="545"/>
      <c r="D7" s="545"/>
      <c r="E7" s="545"/>
      <c r="F7" s="545"/>
      <c r="G7" s="545"/>
      <c r="H7" s="545"/>
      <c r="I7" s="545"/>
    </row>
    <row r="8" spans="1:9" x14ac:dyDescent="0.25">
      <c r="A8" s="546" t="s">
        <v>46</v>
      </c>
      <c r="B8" s="546"/>
      <c r="C8" s="546"/>
      <c r="D8" s="546"/>
      <c r="E8" s="546"/>
      <c r="F8" s="546"/>
      <c r="G8" s="546"/>
      <c r="H8" s="546"/>
      <c r="I8" s="546"/>
    </row>
    <row r="9" spans="1:9" x14ac:dyDescent="0.25">
      <c r="A9" s="546"/>
      <c r="B9" s="546"/>
      <c r="C9" s="546"/>
      <c r="D9" s="546"/>
      <c r="E9" s="546"/>
      <c r="F9" s="546"/>
      <c r="G9" s="546"/>
      <c r="H9" s="546"/>
      <c r="I9" s="546"/>
    </row>
    <row r="10" spans="1:9" x14ac:dyDescent="0.25">
      <c r="A10" s="546"/>
      <c r="B10" s="546"/>
      <c r="C10" s="546"/>
      <c r="D10" s="546"/>
      <c r="E10" s="546"/>
      <c r="F10" s="546"/>
      <c r="G10" s="546"/>
      <c r="H10" s="546"/>
      <c r="I10" s="546"/>
    </row>
    <row r="11" spans="1:9" x14ac:dyDescent="0.25">
      <c r="A11" s="546"/>
      <c r="B11" s="546"/>
      <c r="C11" s="546"/>
      <c r="D11" s="546"/>
      <c r="E11" s="546"/>
      <c r="F11" s="546"/>
      <c r="G11" s="546"/>
      <c r="H11" s="546"/>
      <c r="I11" s="546"/>
    </row>
    <row r="12" spans="1:9" x14ac:dyDescent="0.25">
      <c r="A12" s="546"/>
      <c r="B12" s="546"/>
      <c r="C12" s="546"/>
      <c r="D12" s="546"/>
      <c r="E12" s="546"/>
      <c r="F12" s="546"/>
      <c r="G12" s="546"/>
      <c r="H12" s="546"/>
      <c r="I12" s="546"/>
    </row>
    <row r="13" spans="1:9" x14ac:dyDescent="0.25">
      <c r="A13" s="546"/>
      <c r="B13" s="546"/>
      <c r="C13" s="546"/>
      <c r="D13" s="546"/>
      <c r="E13" s="546"/>
      <c r="F13" s="546"/>
      <c r="G13" s="546"/>
      <c r="H13" s="546"/>
      <c r="I13" s="546"/>
    </row>
    <row r="14" spans="1:9" x14ac:dyDescent="0.25">
      <c r="A14" s="546"/>
      <c r="B14" s="546"/>
      <c r="C14" s="546"/>
      <c r="D14" s="546"/>
      <c r="E14" s="546"/>
      <c r="F14" s="546"/>
      <c r="G14" s="546"/>
      <c r="H14" s="546"/>
      <c r="I14" s="546"/>
    </row>
    <row r="15" spans="1:9" ht="19.5" customHeight="1" x14ac:dyDescent="0.3">
      <c r="A15" s="237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39" t="s">
        <v>33</v>
      </c>
      <c r="B18" s="517" t="s">
        <v>5</v>
      </c>
      <c r="C18" s="517"/>
      <c r="D18" s="384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3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22" t="s">
        <v>9</v>
      </c>
      <c r="C20" s="522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243"/>
    </row>
    <row r="22" spans="1:14" ht="26.25" customHeight="1" x14ac:dyDescent="0.4">
      <c r="A22" s="239" t="s">
        <v>37</v>
      </c>
      <c r="B22" s="244" t="s">
        <v>12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/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17" t="s">
        <v>134</v>
      </c>
      <c r="C26" s="517"/>
    </row>
    <row r="27" spans="1:14" ht="26.25" customHeight="1" x14ac:dyDescent="0.4">
      <c r="A27" s="248" t="s">
        <v>48</v>
      </c>
      <c r="B27" s="523" t="s">
        <v>135</v>
      </c>
      <c r="C27" s="523"/>
    </row>
    <row r="28" spans="1:14" ht="27" customHeight="1" x14ac:dyDescent="0.4">
      <c r="A28" s="248" t="s">
        <v>6</v>
      </c>
      <c r="B28" s="249">
        <v>99.02</v>
      </c>
    </row>
    <row r="29" spans="1:14" s="3" customFormat="1" ht="27" customHeight="1" x14ac:dyDescent="0.4">
      <c r="A29" s="248" t="s">
        <v>49</v>
      </c>
      <c r="B29" s="250"/>
      <c r="C29" s="524" t="s">
        <v>50</v>
      </c>
      <c r="D29" s="525"/>
      <c r="E29" s="525"/>
      <c r="F29" s="525"/>
      <c r="G29" s="526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99.02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27" t="s">
        <v>53</v>
      </c>
      <c r="D31" s="528"/>
      <c r="E31" s="528"/>
      <c r="F31" s="528"/>
      <c r="G31" s="528"/>
      <c r="H31" s="529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27" t="s">
        <v>55</v>
      </c>
      <c r="D32" s="528"/>
      <c r="E32" s="528"/>
      <c r="F32" s="528"/>
      <c r="G32" s="528"/>
      <c r="H32" s="529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530" t="s">
        <v>59</v>
      </c>
      <c r="E36" s="531"/>
      <c r="F36" s="530" t="s">
        <v>60</v>
      </c>
      <c r="G36" s="53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424">
        <v>32670653</v>
      </c>
      <c r="E38" s="271">
        <f>IF(ISBLANK(D38),"-",$D$48/$D$45*D38)</f>
        <v>34346382.972124875</v>
      </c>
      <c r="F38" s="426">
        <v>35026301</v>
      </c>
      <c r="G38" s="272">
        <f>IF(ISBLANK(F38),"-",$D$48/$F$45*F38)</f>
        <v>34785943.177373044</v>
      </c>
      <c r="I38" s="273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4">
        <v>2</v>
      </c>
      <c r="D39" s="425">
        <v>33172680</v>
      </c>
      <c r="E39" s="276">
        <f>IF(ISBLANK(D39),"-",$D$48/$D$45*D39)</f>
        <v>34874159.738764554</v>
      </c>
      <c r="F39" s="427">
        <v>35089865</v>
      </c>
      <c r="G39" s="277">
        <f>IF(ISBLANK(F39),"-",$D$48/$F$45*F39)</f>
        <v>34849070.987875402</v>
      </c>
      <c r="I39" s="534">
        <f>ABS((F43/D43*D42)-F42)/D42</f>
        <v>2.9986175717153295E-3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4">
        <v>3</v>
      </c>
      <c r="D40" s="425">
        <v>32928327</v>
      </c>
      <c r="E40" s="276">
        <f>IF(ISBLANK(D40),"-",$D$48/$D$45*D40)</f>
        <v>34617273.483127497</v>
      </c>
      <c r="F40" s="427">
        <v>34735309</v>
      </c>
      <c r="G40" s="277">
        <f>IF(ISBLANK(F40),"-",$D$48/$F$45*F40)</f>
        <v>34496948.025499307</v>
      </c>
      <c r="I40" s="534"/>
      <c r="L40" s="256"/>
      <c r="M40" s="256"/>
      <c r="N40" s="278"/>
    </row>
    <row r="41" spans="1:14" ht="27" customHeight="1" x14ac:dyDescent="0.4">
      <c r="A41" s="263" t="s">
        <v>69</v>
      </c>
      <c r="B41" s="264">
        <v>1</v>
      </c>
      <c r="C41" s="279">
        <v>4</v>
      </c>
      <c r="D41" s="280"/>
      <c r="E41" s="281" t="str">
        <f>IF(ISBLANK(D41),"-",$D$48/$D$45*D41)</f>
        <v>-</v>
      </c>
      <c r="F41" s="280"/>
      <c r="G41" s="282" t="str">
        <f>IF(ISBLANK(F41),"-",$D$48/$F$45*F41)</f>
        <v>-</v>
      </c>
      <c r="I41" s="283"/>
      <c r="L41" s="256"/>
      <c r="M41" s="256"/>
      <c r="N41" s="278"/>
    </row>
    <row r="42" spans="1:14" ht="27" customHeight="1" x14ac:dyDescent="0.4">
      <c r="A42" s="263" t="s">
        <v>70</v>
      </c>
      <c r="B42" s="264">
        <v>1</v>
      </c>
      <c r="C42" s="284" t="s">
        <v>71</v>
      </c>
      <c r="D42" s="285">
        <f>AVERAGE(D38:D41)</f>
        <v>32923886.666666668</v>
      </c>
      <c r="E42" s="286">
        <f>AVERAGE(E38:E41)</f>
        <v>34612605.398005642</v>
      </c>
      <c r="F42" s="285">
        <f>AVERAGE(F38:F41)</f>
        <v>34950491.666666664</v>
      </c>
      <c r="G42" s="287">
        <f>AVERAGE(G38:G41)</f>
        <v>34710654.063582592</v>
      </c>
      <c r="H42" s="288"/>
    </row>
    <row r="43" spans="1:14" ht="26.25" customHeight="1" x14ac:dyDescent="0.4">
      <c r="A43" s="263" t="s">
        <v>72</v>
      </c>
      <c r="B43" s="264">
        <v>1</v>
      </c>
      <c r="C43" s="289" t="s">
        <v>73</v>
      </c>
      <c r="D43" s="290">
        <v>15.37</v>
      </c>
      <c r="E43" s="278"/>
      <c r="F43" s="290">
        <v>16.27</v>
      </c>
      <c r="H43" s="288"/>
    </row>
    <row r="44" spans="1:14" ht="26.25" customHeight="1" x14ac:dyDescent="0.4">
      <c r="A44" s="263" t="s">
        <v>74</v>
      </c>
      <c r="B44" s="264">
        <v>1</v>
      </c>
      <c r="C44" s="291" t="s">
        <v>75</v>
      </c>
      <c r="D44" s="292">
        <f>D43*$B$34</f>
        <v>15.37</v>
      </c>
      <c r="E44" s="293"/>
      <c r="F44" s="292">
        <f>F43*$B$34</f>
        <v>16.27</v>
      </c>
      <c r="H44" s="288"/>
    </row>
    <row r="45" spans="1:14" ht="19.5" customHeight="1" x14ac:dyDescent="0.3">
      <c r="A45" s="263" t="s">
        <v>76</v>
      </c>
      <c r="B45" s="294">
        <f>(B44/B43)*(B42/B41)*(B40/B39)*(B38/B37)*B36</f>
        <v>100</v>
      </c>
      <c r="C45" s="291" t="s">
        <v>77</v>
      </c>
      <c r="D45" s="295">
        <f>D44*$B$30/100</f>
        <v>15.219373999999998</v>
      </c>
      <c r="E45" s="296"/>
      <c r="F45" s="295">
        <f>F44*$B$30/100</f>
        <v>16.110554</v>
      </c>
      <c r="H45" s="288"/>
    </row>
    <row r="46" spans="1:14" ht="19.5" customHeight="1" x14ac:dyDescent="0.3">
      <c r="A46" s="535" t="s">
        <v>78</v>
      </c>
      <c r="B46" s="536"/>
      <c r="C46" s="291" t="s">
        <v>79</v>
      </c>
      <c r="D46" s="297">
        <f>D45/$B$45</f>
        <v>0.15219373999999999</v>
      </c>
      <c r="E46" s="298"/>
      <c r="F46" s="299">
        <f>F45/$B$45</f>
        <v>0.16110553999999999</v>
      </c>
      <c r="H46" s="288"/>
    </row>
    <row r="47" spans="1:14" ht="27" customHeight="1" x14ac:dyDescent="0.4">
      <c r="A47" s="537"/>
      <c r="B47" s="538"/>
      <c r="C47" s="300" t="s">
        <v>80</v>
      </c>
      <c r="D47" s="301">
        <v>0.16</v>
      </c>
      <c r="E47" s="302"/>
      <c r="F47" s="298"/>
      <c r="H47" s="288"/>
    </row>
    <row r="48" spans="1:14" ht="18.75" x14ac:dyDescent="0.3">
      <c r="C48" s="303" t="s">
        <v>81</v>
      </c>
      <c r="D48" s="295">
        <f>D47*$B$45</f>
        <v>16</v>
      </c>
      <c r="F48" s="304"/>
      <c r="H48" s="288"/>
    </row>
    <row r="49" spans="1:12" ht="19.5" customHeight="1" x14ac:dyDescent="0.3">
      <c r="C49" s="305" t="s">
        <v>82</v>
      </c>
      <c r="D49" s="306">
        <f>D48/B34</f>
        <v>16</v>
      </c>
      <c r="F49" s="304"/>
      <c r="H49" s="288"/>
    </row>
    <row r="50" spans="1:12" ht="18.75" x14ac:dyDescent="0.3">
      <c r="C50" s="261" t="s">
        <v>83</v>
      </c>
      <c r="D50" s="307">
        <f>AVERAGE(E38:E41,G38:G41)</f>
        <v>34661629.730794117</v>
      </c>
      <c r="F50" s="308"/>
      <c r="H50" s="288"/>
    </row>
    <row r="51" spans="1:12" ht="18.75" x14ac:dyDescent="0.3">
      <c r="C51" s="263" t="s">
        <v>84</v>
      </c>
      <c r="D51" s="309">
        <f>STDEV(E38:E41,G38:G41)/D50</f>
        <v>6.1095349484491922E-3</v>
      </c>
      <c r="F51" s="308"/>
      <c r="H51" s="288"/>
    </row>
    <row r="52" spans="1:12" ht="19.5" customHeight="1" x14ac:dyDescent="0.3">
      <c r="C52" s="310" t="s">
        <v>20</v>
      </c>
      <c r="D52" s="311">
        <f>COUNT(E38:E41,G38:G41)</f>
        <v>6</v>
      </c>
      <c r="F52" s="308"/>
    </row>
    <row r="54" spans="1:12" ht="18.75" x14ac:dyDescent="0.3">
      <c r="A54" s="312" t="s">
        <v>1</v>
      </c>
      <c r="B54" s="313" t="s">
        <v>85</v>
      </c>
    </row>
    <row r="55" spans="1:12" ht="18.75" x14ac:dyDescent="0.3">
      <c r="A55" s="238" t="s">
        <v>86</v>
      </c>
      <c r="B55" s="314" t="str">
        <f>B21</f>
        <v>Each tablet contains: Sulfamethoxazole BP 800 mg and Trimethoprim BP 160 mg.</v>
      </c>
    </row>
    <row r="56" spans="1:12" ht="26.25" customHeight="1" x14ac:dyDescent="0.4">
      <c r="A56" s="315" t="s">
        <v>87</v>
      </c>
      <c r="B56" s="316">
        <v>800</v>
      </c>
      <c r="C56" s="238" t="str">
        <f>B20</f>
        <v>Sulfamethoxazole BP 800 mg &amp; Trimethoprim BP 160 mg</v>
      </c>
      <c r="H56" s="317"/>
    </row>
    <row r="57" spans="1:12" ht="18.75" x14ac:dyDescent="0.3">
      <c r="A57" s="314" t="s">
        <v>88</v>
      </c>
      <c r="B57" s="385">
        <f>Uniformity!C46</f>
        <v>1074.7595000000001</v>
      </c>
      <c r="H57" s="317"/>
    </row>
    <row r="58" spans="1:12" ht="19.5" customHeight="1" x14ac:dyDescent="0.3">
      <c r="H58" s="317"/>
    </row>
    <row r="59" spans="1:12" s="3" customFormat="1" ht="27" customHeight="1" thickBot="1" x14ac:dyDescent="0.45">
      <c r="A59" s="261" t="s">
        <v>89</v>
      </c>
      <c r="B59" s="262">
        <v>100</v>
      </c>
      <c r="C59" s="238"/>
      <c r="D59" s="318" t="s">
        <v>90</v>
      </c>
      <c r="E59" s="319" t="s">
        <v>62</v>
      </c>
      <c r="F59" s="319" t="s">
        <v>63</v>
      </c>
      <c r="G59" s="319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2</v>
      </c>
      <c r="C60" s="539" t="s">
        <v>94</v>
      </c>
      <c r="D60" s="542">
        <v>1082.18</v>
      </c>
      <c r="E60" s="320">
        <v>1</v>
      </c>
      <c r="F60" s="321"/>
      <c r="G60" s="386" t="str">
        <f>IF(ISBLANK(F60),"-",(F60/$D$50*$D$47*$B$68)*($B$57/$D$60))</f>
        <v>-</v>
      </c>
      <c r="H60" s="404" t="str">
        <f t="shared" ref="H60:H71" si="0">IF(ISBLANK(F60),"-",(G60/$B$56)*100)</f>
        <v>-</v>
      </c>
      <c r="L60" s="251"/>
    </row>
    <row r="61" spans="1:12" s="3" customFormat="1" ht="26.25" customHeight="1" x14ac:dyDescent="0.4">
      <c r="A61" s="263" t="s">
        <v>95</v>
      </c>
      <c r="B61" s="264">
        <v>100</v>
      </c>
      <c r="C61" s="540"/>
      <c r="D61" s="543"/>
      <c r="E61" s="322">
        <v>2</v>
      </c>
      <c r="F61" s="275">
        <v>33561731</v>
      </c>
      <c r="G61" s="387">
        <f>IF(ISBLANK(F61),"-",(F61/$D$50*$D$47*$B$68)*($B$57/$D$60))</f>
        <v>769.30251059922944</v>
      </c>
      <c r="H61" s="405">
        <f t="shared" si="0"/>
        <v>96.162813824903679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40"/>
      <c r="D62" s="543"/>
      <c r="E62" s="322">
        <v>3</v>
      </c>
      <c r="F62" s="323">
        <v>33599935</v>
      </c>
      <c r="G62" s="387">
        <f>IF(ISBLANK(F62),"-",(F62/$D$50*$D$47*$B$68)*($B$57/$D$60))</f>
        <v>770.17822327075203</v>
      </c>
      <c r="H62" s="405">
        <f t="shared" si="0"/>
        <v>96.272277908844003</v>
      </c>
      <c r="L62" s="251"/>
    </row>
    <row r="63" spans="1:12" ht="27" customHeight="1" thickBot="1" x14ac:dyDescent="0.45">
      <c r="A63" s="263" t="s">
        <v>97</v>
      </c>
      <c r="B63" s="264">
        <v>1</v>
      </c>
      <c r="C63" s="541"/>
      <c r="D63" s="544"/>
      <c r="E63" s="324">
        <v>4</v>
      </c>
      <c r="F63" s="325"/>
      <c r="G63" s="387" t="str">
        <f>IF(ISBLANK(F63),"-",(F63/$D$50*$D$47*$B$68)*($B$57/$D$60))</f>
        <v>-</v>
      </c>
      <c r="H63" s="405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39" t="s">
        <v>99</v>
      </c>
      <c r="D64" s="542">
        <v>1064.01</v>
      </c>
      <c r="E64" s="320">
        <v>1</v>
      </c>
      <c r="F64" s="321">
        <v>32470614</v>
      </c>
      <c r="G64" s="386">
        <f>IF(ISBLANK(F64),"-",(F64/$D$50*$D$47*$B$68)*($B$57/$D$64))</f>
        <v>757.0021139165633</v>
      </c>
      <c r="H64" s="404">
        <f t="shared" si="0"/>
        <v>94.625264239570413</v>
      </c>
    </row>
    <row r="65" spans="1:8" ht="26.25" customHeight="1" x14ac:dyDescent="0.4">
      <c r="A65" s="263" t="s">
        <v>100</v>
      </c>
      <c r="B65" s="264">
        <v>1</v>
      </c>
      <c r="C65" s="540"/>
      <c r="D65" s="543"/>
      <c r="E65" s="322">
        <v>2</v>
      </c>
      <c r="F65" s="275">
        <v>32685727</v>
      </c>
      <c r="G65" s="387">
        <f>IF(ISBLANK(F65),"-",(F65/$D$50*$D$47*$B$68)*($B$57/$D$64))</f>
        <v>762.0171406028752</v>
      </c>
      <c r="H65" s="405">
        <f t="shared" si="0"/>
        <v>95.2521425753594</v>
      </c>
    </row>
    <row r="66" spans="1:8" ht="26.25" customHeight="1" x14ac:dyDescent="0.4">
      <c r="A66" s="263" t="s">
        <v>101</v>
      </c>
      <c r="B66" s="264">
        <v>1</v>
      </c>
      <c r="C66" s="540"/>
      <c r="D66" s="543"/>
      <c r="E66" s="322">
        <v>3</v>
      </c>
      <c r="F66" s="275">
        <v>32759209</v>
      </c>
      <c r="G66" s="387">
        <f>IF(ISBLANK(F66),"-",(F66/$D$50*$D$47*$B$68)*($B$57/$D$64))</f>
        <v>763.73025971219727</v>
      </c>
      <c r="H66" s="405">
        <f t="shared" si="0"/>
        <v>95.466282464024658</v>
      </c>
    </row>
    <row r="67" spans="1:8" ht="27" customHeight="1" thickBot="1" x14ac:dyDescent="0.45">
      <c r="A67" s="263" t="s">
        <v>102</v>
      </c>
      <c r="B67" s="264">
        <v>1</v>
      </c>
      <c r="C67" s="541"/>
      <c r="D67" s="544"/>
      <c r="E67" s="324">
        <v>4</v>
      </c>
      <c r="F67" s="325"/>
      <c r="G67" s="403" t="str">
        <f>IF(ISBLANK(F67),"-",(F67/$D$50*$D$47*$B$68)*($B$57/$D$64))</f>
        <v>-</v>
      </c>
      <c r="H67" s="406" t="str">
        <f t="shared" si="0"/>
        <v>-</v>
      </c>
    </row>
    <row r="68" spans="1:8" ht="26.25" customHeight="1" x14ac:dyDescent="0.4">
      <c r="A68" s="263" t="s">
        <v>103</v>
      </c>
      <c r="B68" s="326">
        <f>(B67/B66)*(B65/B64)*(B63/B62)*(B61/B60)*B59</f>
        <v>5000</v>
      </c>
      <c r="C68" s="539" t="s">
        <v>104</v>
      </c>
      <c r="D68" s="542">
        <v>1076.42</v>
      </c>
      <c r="E68" s="320">
        <v>1</v>
      </c>
      <c r="F68" s="321">
        <v>32867489</v>
      </c>
      <c r="G68" s="386">
        <f>IF(ISBLANK(F68),"-",(F68/$D$50*$D$47*$B$68)*($B$57/$D$68))</f>
        <v>757.42052346315666</v>
      </c>
      <c r="H68" s="405">
        <f t="shared" si="0"/>
        <v>94.677565432894582</v>
      </c>
    </row>
    <row r="69" spans="1:8" ht="27" customHeight="1" thickBot="1" x14ac:dyDescent="0.45">
      <c r="A69" s="310" t="s">
        <v>105</v>
      </c>
      <c r="B69" s="327">
        <f>(D47*B68)/B56*B57</f>
        <v>1074.7595000000001</v>
      </c>
      <c r="C69" s="540"/>
      <c r="D69" s="543"/>
      <c r="E69" s="322">
        <v>2</v>
      </c>
      <c r="F69" s="275">
        <v>32995375</v>
      </c>
      <c r="G69" s="387">
        <f>IF(ISBLANK(F69),"-",(F69/$D$50*$D$47*$B$68)*($B$57/$D$68))</f>
        <v>760.36761446434662</v>
      </c>
      <c r="H69" s="405">
        <f t="shared" si="0"/>
        <v>95.045951808043327</v>
      </c>
    </row>
    <row r="70" spans="1:8" ht="26.25" customHeight="1" x14ac:dyDescent="0.4">
      <c r="A70" s="552" t="s">
        <v>78</v>
      </c>
      <c r="B70" s="553"/>
      <c r="C70" s="540"/>
      <c r="D70" s="543"/>
      <c r="E70" s="322">
        <v>3</v>
      </c>
      <c r="F70" s="275">
        <v>33068893</v>
      </c>
      <c r="G70" s="387">
        <f>IF(ISBLANK(F70),"-",(F70/$D$50*$D$47*$B$68)*($B$57/$D$68))</f>
        <v>762.0618127051664</v>
      </c>
      <c r="H70" s="405">
        <f t="shared" si="0"/>
        <v>95.2577265881458</v>
      </c>
    </row>
    <row r="71" spans="1:8" ht="27" customHeight="1" thickBot="1" x14ac:dyDescent="0.45">
      <c r="A71" s="554"/>
      <c r="B71" s="555"/>
      <c r="C71" s="551"/>
      <c r="D71" s="544"/>
      <c r="E71" s="324">
        <v>4</v>
      </c>
      <c r="F71" s="325"/>
      <c r="G71" s="403" t="str">
        <f>IF(ISBLANK(F71),"-",(F71/$D$50*$D$47*$B$68)*($B$57/$D$68))</f>
        <v>-</v>
      </c>
      <c r="H71" s="406" t="str">
        <f t="shared" si="0"/>
        <v>-</v>
      </c>
    </row>
    <row r="72" spans="1:8" ht="26.25" customHeight="1" x14ac:dyDescent="0.4">
      <c r="A72" s="328"/>
      <c r="B72" s="328"/>
      <c r="C72" s="328"/>
      <c r="D72" s="328"/>
      <c r="E72" s="328"/>
      <c r="F72" s="330" t="s">
        <v>71</v>
      </c>
      <c r="G72" s="392">
        <f>AVERAGE(G60:G71)</f>
        <v>762.76002484178593</v>
      </c>
      <c r="H72" s="407">
        <f>AVERAGE(H60:H71)</f>
        <v>95.345003105223242</v>
      </c>
    </row>
    <row r="73" spans="1:8" ht="26.25" customHeight="1" x14ac:dyDescent="0.4">
      <c r="C73" s="328"/>
      <c r="D73" s="328"/>
      <c r="E73" s="328"/>
      <c r="F73" s="331" t="s">
        <v>84</v>
      </c>
      <c r="G73" s="391">
        <f>STDEV(G60:G71)/G72</f>
        <v>6.4074280705722344E-3</v>
      </c>
      <c r="H73" s="391">
        <f>STDEV(H60:H71)/H72</f>
        <v>6.4074280705722344E-3</v>
      </c>
    </row>
    <row r="74" spans="1:8" ht="27" customHeight="1" x14ac:dyDescent="0.4">
      <c r="A74" s="328"/>
      <c r="B74" s="328"/>
      <c r="C74" s="329"/>
      <c r="D74" s="329"/>
      <c r="E74" s="332"/>
      <c r="F74" s="333" t="s">
        <v>20</v>
      </c>
      <c r="G74" s="334">
        <f>COUNT(G60:G71)</f>
        <v>8</v>
      </c>
      <c r="H74" s="334">
        <f>COUNT(H60:H71)</f>
        <v>8</v>
      </c>
    </row>
    <row r="76" spans="1:8" ht="26.25" customHeight="1" x14ac:dyDescent="0.4">
      <c r="A76" s="247" t="s">
        <v>106</v>
      </c>
      <c r="B76" s="335" t="s">
        <v>107</v>
      </c>
      <c r="C76" s="547" t="str">
        <f>B26</f>
        <v>Sulfamethoxazole</v>
      </c>
      <c r="D76" s="547"/>
      <c r="E76" s="336" t="s">
        <v>108</v>
      </c>
      <c r="F76" s="336"/>
      <c r="G76" s="423">
        <f>H72</f>
        <v>95.345003105223242</v>
      </c>
      <c r="H76" s="338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33" t="str">
        <f>B26</f>
        <v>Sulfamethoxazole</v>
      </c>
      <c r="C79" s="533"/>
    </row>
    <row r="80" spans="1:8" ht="26.25" customHeight="1" x14ac:dyDescent="0.4">
      <c r="A80" s="248" t="s">
        <v>48</v>
      </c>
      <c r="B80" s="533" t="str">
        <f>B27</f>
        <v>S12-6</v>
      </c>
      <c r="C80" s="533"/>
    </row>
    <row r="81" spans="1:12" ht="27" customHeight="1" x14ac:dyDescent="0.4">
      <c r="A81" s="248" t="s">
        <v>6</v>
      </c>
      <c r="B81" s="339">
        <f>B28</f>
        <v>99.02</v>
      </c>
    </row>
    <row r="82" spans="1:12" s="3" customFormat="1" ht="27" customHeight="1" x14ac:dyDescent="0.4">
      <c r="A82" s="248" t="s">
        <v>49</v>
      </c>
      <c r="B82" s="250">
        <v>0</v>
      </c>
      <c r="C82" s="524" t="s">
        <v>50</v>
      </c>
      <c r="D82" s="525"/>
      <c r="E82" s="525"/>
      <c r="F82" s="525"/>
      <c r="G82" s="526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99.02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27" t="s">
        <v>111</v>
      </c>
      <c r="D84" s="528"/>
      <c r="E84" s="528"/>
      <c r="F84" s="528"/>
      <c r="G84" s="528"/>
      <c r="H84" s="529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27" t="s">
        <v>112</v>
      </c>
      <c r="D85" s="528"/>
      <c r="E85" s="528"/>
      <c r="F85" s="528"/>
      <c r="G85" s="528"/>
      <c r="H85" s="529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100</v>
      </c>
      <c r="D89" s="340" t="s">
        <v>59</v>
      </c>
      <c r="E89" s="341"/>
      <c r="F89" s="530" t="s">
        <v>60</v>
      </c>
      <c r="G89" s="532"/>
    </row>
    <row r="90" spans="1:12" ht="27" customHeight="1" x14ac:dyDescent="0.4">
      <c r="A90" s="263" t="s">
        <v>61</v>
      </c>
      <c r="B90" s="264">
        <v>1</v>
      </c>
      <c r="C90" s="342" t="s">
        <v>62</v>
      </c>
      <c r="D90" s="266" t="s">
        <v>63</v>
      </c>
      <c r="E90" s="267" t="s">
        <v>64</v>
      </c>
      <c r="F90" s="266" t="s">
        <v>63</v>
      </c>
      <c r="G90" s="343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4">
        <v>1</v>
      </c>
      <c r="D91" s="424">
        <v>32670653</v>
      </c>
      <c r="E91" s="271">
        <f>IF(ISBLANK(D91),"-",$D$101/$D$98*D91)</f>
        <v>38162647.746805422</v>
      </c>
      <c r="F91" s="426">
        <v>35026301</v>
      </c>
      <c r="G91" s="272">
        <f>IF(ISBLANK(F91),"-",$D$101/$F$98*F91)</f>
        <v>38651047.97485894</v>
      </c>
      <c r="I91" s="273"/>
    </row>
    <row r="92" spans="1:12" ht="26.25" customHeight="1" x14ac:dyDescent="0.4">
      <c r="A92" s="263" t="s">
        <v>67</v>
      </c>
      <c r="B92" s="264">
        <v>1</v>
      </c>
      <c r="C92" s="329">
        <v>2</v>
      </c>
      <c r="D92" s="425">
        <v>33172680</v>
      </c>
      <c r="E92" s="276">
        <f>IF(ISBLANK(D92),"-",$D$101/$D$98*D92)</f>
        <v>38749066.376405068</v>
      </c>
      <c r="F92" s="427">
        <v>35089865</v>
      </c>
      <c r="G92" s="277">
        <f>IF(ISBLANK(F92),"-",$D$101/$F$98*F92)</f>
        <v>38721189.986528225</v>
      </c>
      <c r="I92" s="534">
        <f>ABS((F96/D96*D95)-F95)/D95</f>
        <v>2.9986175717153295E-3</v>
      </c>
    </row>
    <row r="93" spans="1:12" ht="26.25" customHeight="1" x14ac:dyDescent="0.4">
      <c r="A93" s="263" t="s">
        <v>68</v>
      </c>
      <c r="B93" s="264">
        <v>1</v>
      </c>
      <c r="C93" s="329">
        <v>3</v>
      </c>
      <c r="D93" s="425">
        <v>32928327</v>
      </c>
      <c r="E93" s="276">
        <f>IF(ISBLANK(D93),"-",$D$101/$D$98*D93)</f>
        <v>38463637.203474998</v>
      </c>
      <c r="F93" s="427">
        <v>34735309</v>
      </c>
      <c r="G93" s="277">
        <f>IF(ISBLANK(F93),"-",$D$101/$F$98*F93)</f>
        <v>38329942.250554793</v>
      </c>
      <c r="I93" s="534"/>
    </row>
    <row r="94" spans="1:12" ht="27" customHeight="1" x14ac:dyDescent="0.4">
      <c r="A94" s="263" t="s">
        <v>69</v>
      </c>
      <c r="B94" s="264">
        <v>1</v>
      </c>
      <c r="C94" s="345">
        <v>4</v>
      </c>
      <c r="D94" s="280"/>
      <c r="E94" s="281" t="str">
        <f>IF(ISBLANK(D94),"-",$D$101/$D$98*D94)</f>
        <v>-</v>
      </c>
      <c r="F94" s="346"/>
      <c r="G94" s="282" t="str">
        <f>IF(ISBLANK(F94),"-",$D$101/$F$98*F94)</f>
        <v>-</v>
      </c>
      <c r="I94" s="283"/>
    </row>
    <row r="95" spans="1:12" ht="27" customHeight="1" x14ac:dyDescent="0.4">
      <c r="A95" s="263" t="s">
        <v>70</v>
      </c>
      <c r="B95" s="264">
        <v>1</v>
      </c>
      <c r="C95" s="347" t="s">
        <v>71</v>
      </c>
      <c r="D95" s="348">
        <f>AVERAGE(D91:D94)</f>
        <v>32923886.666666668</v>
      </c>
      <c r="E95" s="286">
        <f>AVERAGE(E91:E94)</f>
        <v>38458450.442228496</v>
      </c>
      <c r="F95" s="349">
        <f>AVERAGE(F91:F94)</f>
        <v>34950491.666666664</v>
      </c>
      <c r="G95" s="350">
        <f>AVERAGE(G91:G94)</f>
        <v>38567393.40398065</v>
      </c>
    </row>
    <row r="96" spans="1:12" ht="26.25" customHeight="1" x14ac:dyDescent="0.4">
      <c r="A96" s="263" t="s">
        <v>72</v>
      </c>
      <c r="B96" s="249">
        <v>1</v>
      </c>
      <c r="C96" s="351" t="s">
        <v>113</v>
      </c>
      <c r="D96" s="352">
        <v>15.37</v>
      </c>
      <c r="E96" s="278"/>
      <c r="F96" s="290">
        <v>16.27</v>
      </c>
    </row>
    <row r="97" spans="1:10" ht="26.25" customHeight="1" x14ac:dyDescent="0.4">
      <c r="A97" s="263" t="s">
        <v>74</v>
      </c>
      <c r="B97" s="249">
        <v>1</v>
      </c>
      <c r="C97" s="353" t="s">
        <v>114</v>
      </c>
      <c r="D97" s="354">
        <f>D96*$B$87</f>
        <v>15.37</v>
      </c>
      <c r="E97" s="293"/>
      <c r="F97" s="292">
        <f>F96*$B$87</f>
        <v>16.27</v>
      </c>
    </row>
    <row r="98" spans="1:10" ht="19.5" customHeight="1" x14ac:dyDescent="0.3">
      <c r="A98" s="263" t="s">
        <v>76</v>
      </c>
      <c r="B98" s="355">
        <f>(B97/B96)*(B95/B94)*(B93/B92)*(B91/B90)*B89</f>
        <v>100</v>
      </c>
      <c r="C98" s="353" t="s">
        <v>115</v>
      </c>
      <c r="D98" s="356">
        <f>D97*$B$83/100</f>
        <v>15.219373999999998</v>
      </c>
      <c r="E98" s="296"/>
      <c r="F98" s="295">
        <f>F97*$B$83/100</f>
        <v>16.110554</v>
      </c>
    </row>
    <row r="99" spans="1:10" ht="19.5" customHeight="1" x14ac:dyDescent="0.3">
      <c r="A99" s="535" t="s">
        <v>78</v>
      </c>
      <c r="B99" s="549"/>
      <c r="C99" s="353" t="s">
        <v>116</v>
      </c>
      <c r="D99" s="357">
        <f>D98/$B$98</f>
        <v>0.15219373999999999</v>
      </c>
      <c r="E99" s="296"/>
      <c r="F99" s="299">
        <f>F98/$B$98</f>
        <v>0.16110553999999999</v>
      </c>
      <c r="G99" s="358"/>
      <c r="H99" s="288"/>
    </row>
    <row r="100" spans="1:10" ht="19.5" customHeight="1" x14ac:dyDescent="0.3">
      <c r="A100" s="537"/>
      <c r="B100" s="550"/>
      <c r="C100" s="353" t="s">
        <v>80</v>
      </c>
      <c r="D100" s="359">
        <f>$B$56/$B$116</f>
        <v>0.17777777777777778</v>
      </c>
      <c r="F100" s="304"/>
      <c r="G100" s="360"/>
      <c r="H100" s="288"/>
    </row>
    <row r="101" spans="1:10" ht="18.75" x14ac:dyDescent="0.3">
      <c r="C101" s="353" t="s">
        <v>81</v>
      </c>
      <c r="D101" s="354">
        <f>D100*$B$98</f>
        <v>17.777777777777779</v>
      </c>
      <c r="F101" s="304"/>
      <c r="G101" s="358"/>
      <c r="H101" s="288"/>
    </row>
    <row r="102" spans="1:10" ht="19.5" customHeight="1" x14ac:dyDescent="0.3">
      <c r="C102" s="361" t="s">
        <v>82</v>
      </c>
      <c r="D102" s="362">
        <f>D101/B34</f>
        <v>17.777777777777779</v>
      </c>
      <c r="F102" s="308"/>
      <c r="G102" s="358"/>
      <c r="H102" s="288"/>
      <c r="J102" s="363"/>
    </row>
    <row r="103" spans="1:10" ht="18.75" x14ac:dyDescent="0.3">
      <c r="C103" s="364" t="s">
        <v>117</v>
      </c>
      <c r="D103" s="365">
        <f>AVERAGE(E91:E94,G91:G94)</f>
        <v>38512921.923104577</v>
      </c>
      <c r="F103" s="308"/>
      <c r="G103" s="366"/>
      <c r="H103" s="288"/>
      <c r="J103" s="367"/>
    </row>
    <row r="104" spans="1:10" ht="18.75" x14ac:dyDescent="0.3">
      <c r="C104" s="331" t="s">
        <v>84</v>
      </c>
      <c r="D104" s="368">
        <f>STDEV(E91:E94,G91:G94)/D103</f>
        <v>6.1095349484491628E-3</v>
      </c>
      <c r="F104" s="308"/>
      <c r="G104" s="358"/>
      <c r="H104" s="288"/>
      <c r="J104" s="367"/>
    </row>
    <row r="105" spans="1:10" ht="19.5" customHeight="1" x14ac:dyDescent="0.3">
      <c r="C105" s="333" t="s">
        <v>20</v>
      </c>
      <c r="D105" s="369">
        <f>COUNT(E91:E94,G91:G94)</f>
        <v>6</v>
      </c>
      <c r="F105" s="308"/>
      <c r="G105" s="358"/>
      <c r="H105" s="288"/>
      <c r="J105" s="367"/>
    </row>
    <row r="106" spans="1:10" ht="19.5" customHeight="1" x14ac:dyDescent="0.3">
      <c r="A106" s="312"/>
      <c r="B106" s="312"/>
      <c r="C106" s="312"/>
      <c r="D106" s="312"/>
      <c r="E106" s="312"/>
    </row>
    <row r="107" spans="1:10" ht="27" customHeight="1" x14ac:dyDescent="0.4">
      <c r="A107" s="261" t="s">
        <v>118</v>
      </c>
      <c r="B107" s="262">
        <v>900</v>
      </c>
      <c r="C107" s="408" t="s">
        <v>119</v>
      </c>
      <c r="D107" s="408" t="s">
        <v>63</v>
      </c>
      <c r="E107" s="408" t="s">
        <v>120</v>
      </c>
      <c r="F107" s="370" t="s">
        <v>121</v>
      </c>
    </row>
    <row r="108" spans="1:10" ht="26.25" customHeight="1" x14ac:dyDescent="0.4">
      <c r="A108" s="263" t="s">
        <v>122</v>
      </c>
      <c r="B108" s="264">
        <v>4</v>
      </c>
      <c r="C108" s="413">
        <v>1</v>
      </c>
      <c r="D108" s="414">
        <v>37361165</v>
      </c>
      <c r="E108" s="388">
        <f t="shared" ref="E108:E113" si="1">IF(ISBLANK(D108),"-",D108/$D$103*$D$100*$B$116)</f>
        <v>776.07541852255849</v>
      </c>
      <c r="F108" s="415">
        <f t="shared" ref="F108:F113" si="2">IF(ISBLANK(D108), "-", (E108/$B$56)*100)</f>
        <v>97.009427315319812</v>
      </c>
    </row>
    <row r="109" spans="1:10" ht="26.25" customHeight="1" x14ac:dyDescent="0.4">
      <c r="A109" s="263" t="s">
        <v>95</v>
      </c>
      <c r="B109" s="264">
        <v>20</v>
      </c>
      <c r="C109" s="409">
        <v>2</v>
      </c>
      <c r="D109" s="411">
        <v>37233289</v>
      </c>
      <c r="E109" s="389">
        <f t="shared" si="1"/>
        <v>773.41914642239806</v>
      </c>
      <c r="F109" s="416">
        <f t="shared" si="2"/>
        <v>96.677393302799757</v>
      </c>
    </row>
    <row r="110" spans="1:10" ht="26.25" customHeight="1" x14ac:dyDescent="0.4">
      <c r="A110" s="263" t="s">
        <v>96</v>
      </c>
      <c r="B110" s="264">
        <v>1</v>
      </c>
      <c r="C110" s="409">
        <v>3</v>
      </c>
      <c r="D110" s="411">
        <v>37470834</v>
      </c>
      <c r="E110" s="389">
        <f t="shared" si="1"/>
        <v>778.3534902870216</v>
      </c>
      <c r="F110" s="416">
        <f t="shared" si="2"/>
        <v>97.2941862858777</v>
      </c>
    </row>
    <row r="111" spans="1:10" ht="26.25" customHeight="1" x14ac:dyDescent="0.4">
      <c r="A111" s="263" t="s">
        <v>97</v>
      </c>
      <c r="B111" s="264">
        <v>1</v>
      </c>
      <c r="C111" s="409">
        <v>4</v>
      </c>
      <c r="D111" s="411">
        <v>37458029</v>
      </c>
      <c r="E111" s="389">
        <f t="shared" si="1"/>
        <v>778.08750163987474</v>
      </c>
      <c r="F111" s="416">
        <f t="shared" si="2"/>
        <v>97.260937704984343</v>
      </c>
    </row>
    <row r="112" spans="1:10" ht="26.25" customHeight="1" x14ac:dyDescent="0.4">
      <c r="A112" s="263" t="s">
        <v>98</v>
      </c>
      <c r="B112" s="264">
        <v>1</v>
      </c>
      <c r="C112" s="409">
        <v>5</v>
      </c>
      <c r="D112" s="411">
        <v>37269192</v>
      </c>
      <c r="E112" s="389">
        <f t="shared" si="1"/>
        <v>774.16493247460539</v>
      </c>
      <c r="F112" s="416">
        <f t="shared" si="2"/>
        <v>96.770616559325674</v>
      </c>
    </row>
    <row r="113" spans="1:10" ht="27" customHeight="1" x14ac:dyDescent="0.4">
      <c r="A113" s="263" t="s">
        <v>100</v>
      </c>
      <c r="B113" s="264">
        <v>1</v>
      </c>
      <c r="C113" s="410">
        <v>6</v>
      </c>
      <c r="D113" s="412">
        <v>37422210</v>
      </c>
      <c r="E113" s="390">
        <f t="shared" si="1"/>
        <v>777.34346045657503</v>
      </c>
      <c r="F113" s="417">
        <f t="shared" si="2"/>
        <v>97.167932557071879</v>
      </c>
    </row>
    <row r="114" spans="1:10" ht="27" customHeight="1" x14ac:dyDescent="0.4">
      <c r="A114" s="263" t="s">
        <v>101</v>
      </c>
      <c r="B114" s="264">
        <v>1</v>
      </c>
      <c r="C114" s="371"/>
      <c r="D114" s="329"/>
      <c r="E114" s="237"/>
      <c r="F114" s="418"/>
    </row>
    <row r="115" spans="1:10" ht="26.25" customHeight="1" x14ac:dyDescent="0.4">
      <c r="A115" s="263" t="s">
        <v>102</v>
      </c>
      <c r="B115" s="264">
        <v>1</v>
      </c>
      <c r="C115" s="371"/>
      <c r="D115" s="395" t="s">
        <v>71</v>
      </c>
      <c r="E115" s="397">
        <f>AVERAGE(E108:E113)</f>
        <v>776.24065830050552</v>
      </c>
      <c r="F115" s="419">
        <f>AVERAGE(F108:F113)</f>
        <v>97.030082287563189</v>
      </c>
    </row>
    <row r="116" spans="1:10" ht="27" customHeight="1" x14ac:dyDescent="0.4">
      <c r="A116" s="263" t="s">
        <v>103</v>
      </c>
      <c r="B116" s="294">
        <f>(B115/B114)*(B113/B112)*(B111/B110)*(B109/B108)*B107</f>
        <v>4500</v>
      </c>
      <c r="C116" s="372"/>
      <c r="D116" s="396" t="s">
        <v>84</v>
      </c>
      <c r="E116" s="394">
        <f>STDEV(E108:E113)/E115</f>
        <v>2.6644220524594375E-3</v>
      </c>
      <c r="F116" s="373">
        <f>STDEV(F108:F113)/F115</f>
        <v>2.6644220524594375E-3</v>
      </c>
      <c r="I116" s="237"/>
    </row>
    <row r="117" spans="1:10" ht="27" customHeight="1" x14ac:dyDescent="0.4">
      <c r="A117" s="535" t="s">
        <v>78</v>
      </c>
      <c r="B117" s="536"/>
      <c r="C117" s="374"/>
      <c r="D117" s="333" t="s">
        <v>20</v>
      </c>
      <c r="E117" s="399">
        <f>COUNT(E108:E113)</f>
        <v>6</v>
      </c>
      <c r="F117" s="400">
        <f>COUNT(F108:F113)</f>
        <v>6</v>
      </c>
      <c r="I117" s="237"/>
      <c r="J117" s="367"/>
    </row>
    <row r="118" spans="1:10" ht="26.25" customHeight="1" x14ac:dyDescent="0.3">
      <c r="A118" s="537"/>
      <c r="B118" s="538"/>
      <c r="C118" s="237"/>
      <c r="D118" s="398"/>
      <c r="E118" s="515" t="s">
        <v>123</v>
      </c>
      <c r="F118" s="516"/>
      <c r="G118" s="237"/>
      <c r="H118" s="237"/>
      <c r="I118" s="237"/>
    </row>
    <row r="119" spans="1:10" ht="25.5" customHeight="1" x14ac:dyDescent="0.4">
      <c r="A119" s="383"/>
      <c r="B119" s="259"/>
      <c r="C119" s="237"/>
      <c r="D119" s="396" t="s">
        <v>124</v>
      </c>
      <c r="E119" s="401">
        <f>MIN(E108:E113)</f>
        <v>773.41914642239806</v>
      </c>
      <c r="F119" s="420">
        <f>MIN(F108:F113)</f>
        <v>96.677393302799757</v>
      </c>
      <c r="G119" s="237"/>
      <c r="H119" s="237"/>
      <c r="I119" s="237"/>
    </row>
    <row r="120" spans="1:10" ht="24" customHeight="1" x14ac:dyDescent="0.4">
      <c r="A120" s="383"/>
      <c r="B120" s="259"/>
      <c r="C120" s="237"/>
      <c r="D120" s="305" t="s">
        <v>125</v>
      </c>
      <c r="E120" s="402">
        <f>MAX(E108:E113)</f>
        <v>778.3534902870216</v>
      </c>
      <c r="F120" s="421">
        <f>MAX(F108:F113)</f>
        <v>97.2941862858777</v>
      </c>
      <c r="G120" s="237"/>
      <c r="H120" s="237"/>
      <c r="I120" s="237"/>
    </row>
    <row r="121" spans="1:10" ht="27" customHeight="1" x14ac:dyDescent="0.3">
      <c r="A121" s="383"/>
      <c r="B121" s="259"/>
      <c r="C121" s="237"/>
      <c r="D121" s="237"/>
      <c r="E121" s="237"/>
      <c r="F121" s="329"/>
      <c r="G121" s="237"/>
      <c r="H121" s="237"/>
      <c r="I121" s="237"/>
    </row>
    <row r="122" spans="1:10" ht="25.5" customHeight="1" x14ac:dyDescent="0.3">
      <c r="A122" s="383"/>
      <c r="B122" s="259"/>
      <c r="C122" s="237"/>
      <c r="D122" s="237"/>
      <c r="E122" s="237"/>
      <c r="F122" s="329"/>
      <c r="G122" s="237"/>
      <c r="H122" s="237"/>
      <c r="I122" s="237"/>
    </row>
    <row r="123" spans="1:10" ht="18.75" x14ac:dyDescent="0.3">
      <c r="A123" s="383"/>
      <c r="B123" s="259"/>
      <c r="C123" s="237"/>
      <c r="D123" s="237"/>
      <c r="E123" s="237"/>
      <c r="F123" s="329"/>
      <c r="G123" s="237"/>
      <c r="H123" s="237"/>
      <c r="I123" s="237"/>
    </row>
    <row r="124" spans="1:10" ht="45.75" customHeight="1" x14ac:dyDescent="0.65">
      <c r="A124" s="247" t="s">
        <v>106</v>
      </c>
      <c r="B124" s="335" t="s">
        <v>126</v>
      </c>
      <c r="C124" s="547" t="str">
        <f>B26</f>
        <v>Sulfamethoxazole</v>
      </c>
      <c r="D124" s="547"/>
      <c r="E124" s="336" t="s">
        <v>127</v>
      </c>
      <c r="F124" s="336"/>
      <c r="G124" s="422">
        <f>F115</f>
        <v>97.030082287563189</v>
      </c>
      <c r="H124" s="237"/>
      <c r="I124" s="237"/>
    </row>
    <row r="125" spans="1:10" ht="45.75" customHeight="1" x14ac:dyDescent="0.65">
      <c r="A125" s="247"/>
      <c r="B125" s="335" t="s">
        <v>128</v>
      </c>
      <c r="C125" s="248" t="s">
        <v>129</v>
      </c>
      <c r="D125" s="422">
        <f>MIN(F108:F113)</f>
        <v>96.677393302799757</v>
      </c>
      <c r="E125" s="347" t="s">
        <v>130</v>
      </c>
      <c r="F125" s="422">
        <f>MAX(F108:F113)</f>
        <v>97.2941862858777</v>
      </c>
      <c r="G125" s="337"/>
      <c r="H125" s="237"/>
      <c r="I125" s="237"/>
    </row>
    <row r="126" spans="1:10" ht="19.5" customHeight="1" x14ac:dyDescent="0.3">
      <c r="A126" s="375"/>
      <c r="B126" s="375"/>
      <c r="C126" s="376"/>
      <c r="D126" s="376"/>
      <c r="E126" s="376"/>
      <c r="F126" s="376"/>
      <c r="G126" s="376"/>
      <c r="H126" s="376"/>
    </row>
    <row r="127" spans="1:10" ht="18.75" x14ac:dyDescent="0.3">
      <c r="B127" s="548" t="s">
        <v>26</v>
      </c>
      <c r="C127" s="548"/>
      <c r="E127" s="342" t="s">
        <v>27</v>
      </c>
      <c r="F127" s="377"/>
      <c r="G127" s="548" t="s">
        <v>28</v>
      </c>
      <c r="H127" s="548"/>
    </row>
    <row r="128" spans="1:10" ht="69.95" customHeight="1" x14ac:dyDescent="0.3">
      <c r="A128" s="378" t="s">
        <v>29</v>
      </c>
      <c r="B128" s="379"/>
      <c r="C128" s="379"/>
      <c r="E128" s="379"/>
      <c r="F128" s="237"/>
      <c r="G128" s="380"/>
      <c r="H128" s="380"/>
    </row>
    <row r="129" spans="1:9" ht="69.95" customHeight="1" x14ac:dyDescent="0.3">
      <c r="A129" s="378" t="s">
        <v>30</v>
      </c>
      <c r="B129" s="381"/>
      <c r="C129" s="381"/>
      <c r="E129" s="381"/>
      <c r="F129" s="237"/>
      <c r="G129" s="382"/>
      <c r="H129" s="382"/>
    </row>
    <row r="130" spans="1:9" ht="18.75" x14ac:dyDescent="0.3">
      <c r="A130" s="328"/>
      <c r="B130" s="328"/>
      <c r="C130" s="329"/>
      <c r="D130" s="329"/>
      <c r="E130" s="329"/>
      <c r="F130" s="332"/>
      <c r="G130" s="329"/>
      <c r="H130" s="329"/>
      <c r="I130" s="237"/>
    </row>
    <row r="131" spans="1:9" ht="18.75" x14ac:dyDescent="0.3">
      <c r="A131" s="328"/>
      <c r="B131" s="328"/>
      <c r="C131" s="329"/>
      <c r="D131" s="329"/>
      <c r="E131" s="329"/>
      <c r="F131" s="332"/>
      <c r="G131" s="329"/>
      <c r="H131" s="329"/>
      <c r="I131" s="237"/>
    </row>
    <row r="132" spans="1:9" ht="18.75" x14ac:dyDescent="0.3">
      <c r="A132" s="328"/>
      <c r="B132" s="328"/>
      <c r="C132" s="329"/>
      <c r="D132" s="329"/>
      <c r="E132" s="329"/>
      <c r="F132" s="332"/>
      <c r="G132" s="329"/>
      <c r="H132" s="329"/>
      <c r="I132" s="237"/>
    </row>
    <row r="133" spans="1:9" ht="18.75" x14ac:dyDescent="0.3">
      <c r="A133" s="328"/>
      <c r="B133" s="328"/>
      <c r="C133" s="329"/>
      <c r="D133" s="329"/>
      <c r="E133" s="329"/>
      <c r="F133" s="332"/>
      <c r="G133" s="329"/>
      <c r="H133" s="329"/>
      <c r="I133" s="237"/>
    </row>
    <row r="134" spans="1:9" ht="18.75" x14ac:dyDescent="0.3">
      <c r="A134" s="328"/>
      <c r="B134" s="328"/>
      <c r="C134" s="329"/>
      <c r="D134" s="329"/>
      <c r="E134" s="329"/>
      <c r="F134" s="332"/>
      <c r="G134" s="329"/>
      <c r="H134" s="329"/>
      <c r="I134" s="237"/>
    </row>
    <row r="135" spans="1:9" ht="18.75" x14ac:dyDescent="0.3">
      <c r="A135" s="328"/>
      <c r="B135" s="328"/>
      <c r="C135" s="329"/>
      <c r="D135" s="329"/>
      <c r="E135" s="329"/>
      <c r="F135" s="332"/>
      <c r="G135" s="329"/>
      <c r="H135" s="329"/>
      <c r="I135" s="237"/>
    </row>
    <row r="136" spans="1:9" ht="18.75" x14ac:dyDescent="0.3">
      <c r="A136" s="328"/>
      <c r="B136" s="328"/>
      <c r="C136" s="329"/>
      <c r="D136" s="329"/>
      <c r="E136" s="329"/>
      <c r="F136" s="332"/>
      <c r="G136" s="329"/>
      <c r="H136" s="329"/>
      <c r="I136" s="237"/>
    </row>
    <row r="137" spans="1:9" ht="18.75" x14ac:dyDescent="0.3">
      <c r="A137" s="328"/>
      <c r="B137" s="328"/>
      <c r="C137" s="329"/>
      <c r="D137" s="329"/>
      <c r="E137" s="329"/>
      <c r="F137" s="332"/>
      <c r="G137" s="329"/>
      <c r="H137" s="329"/>
      <c r="I137" s="237"/>
    </row>
    <row r="138" spans="1:9" ht="18.75" x14ac:dyDescent="0.3">
      <c r="A138" s="328"/>
      <c r="B138" s="328"/>
      <c r="C138" s="329"/>
      <c r="D138" s="329"/>
      <c r="E138" s="329"/>
      <c r="F138" s="332"/>
      <c r="G138" s="329"/>
      <c r="H138" s="329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 TRIM SST</vt:lpstr>
      <vt:lpstr>SULFS SST</vt:lpstr>
      <vt:lpstr>Uniformity</vt:lpstr>
      <vt:lpstr>trimethoprim</vt:lpstr>
      <vt:lpstr>sulfamethoxazole</vt:lpstr>
      <vt:lpstr>' TRIM SST'!Print_Area</vt:lpstr>
      <vt:lpstr>sulfamethoxazole!Print_Area</vt:lpstr>
      <vt:lpstr>'SULFS SST'!Print_Area</vt:lpstr>
      <vt:lpstr>trimethoprim!Print_Area</vt:lpstr>
      <vt:lpstr>Uniformity!Print_Area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2018-03-23T06:34:41Z</cp:lastPrinted>
  <dcterms:created xsi:type="dcterms:W3CDTF">2005-07-05T10:19:27Z</dcterms:created>
  <dcterms:modified xsi:type="dcterms:W3CDTF">2018-03-26T12:40:55Z</dcterms:modified>
</cp:coreProperties>
</file>