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y\"/>
    </mc:Choice>
  </mc:AlternateContent>
  <bookViews>
    <workbookView xWindow="0" yWindow="0" windowWidth="20490" windowHeight="7650" tabRatio="710" activeTab="3"/>
  </bookViews>
  <sheets>
    <sheet name="SUL SST" sheetId="1" r:id="rId1"/>
    <sheet name="TRI SST" sheetId="5" r:id="rId2"/>
    <sheet name="Uniformity" sheetId="2" r:id="rId3"/>
    <sheet name="trimethoprim" sheetId="3" r:id="rId4"/>
    <sheet name="sulfamethoxazole" sheetId="4" r:id="rId5"/>
  </sheets>
  <definedNames>
    <definedName name="_xlnm.Print_Area" localSheetId="0">'SUL SST'!$A$15:$G$62</definedName>
    <definedName name="_xlnm.Print_Area" localSheetId="4">sulfamethoxazole!$A$1:$I$130</definedName>
    <definedName name="_xlnm.Print_Area" localSheetId="1">'TRI SST'!$A$15:$G$62</definedName>
    <definedName name="_xlnm.Print_Area" localSheetId="3">trimethoprim!$A$1:$I$130</definedName>
    <definedName name="_xlnm.Print_Area" localSheetId="2">Uniformity!$A$19:$F$55</definedName>
  </definedNames>
  <calcPr calcId="162913"/>
</workbook>
</file>

<file path=xl/calcChain.xml><?xml version="1.0" encoding="utf-8"?>
<calcChain xmlns="http://schemas.openxmlformats.org/spreadsheetml/2006/main">
  <c r="B21" i="1" l="1"/>
  <c r="B21" i="5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B69" i="4" s="1"/>
  <c r="C45" i="2"/>
  <c r="D36" i="2"/>
  <c r="D31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28" i="2"/>
  <c r="D32" i="2"/>
  <c r="D37" i="2"/>
  <c r="D25" i="2"/>
  <c r="D29" i="2"/>
  <c r="D33" i="2"/>
  <c r="D40" i="2"/>
  <c r="F98" i="3"/>
  <c r="F99" i="3" s="1"/>
  <c r="D26" i="2"/>
  <c r="D30" i="2"/>
  <c r="D34" i="2"/>
  <c r="D41" i="2"/>
  <c r="I92" i="4"/>
  <c r="D101" i="4"/>
  <c r="D102" i="4" s="1"/>
  <c r="I39" i="4"/>
  <c r="F98" i="4"/>
  <c r="F99" i="4" s="1"/>
  <c r="F45" i="4"/>
  <c r="F46" i="4" s="1"/>
  <c r="I39" i="3"/>
  <c r="D45" i="3"/>
  <c r="D46" i="3" s="1"/>
  <c r="D49" i="3"/>
  <c r="E41" i="3"/>
  <c r="G39" i="4"/>
  <c r="G40" i="4"/>
  <c r="D49" i="4"/>
  <c r="G38" i="4"/>
  <c r="G41" i="4"/>
  <c r="D102" i="3"/>
  <c r="G93" i="3"/>
  <c r="G94" i="3"/>
  <c r="G94" i="4"/>
  <c r="E94" i="4"/>
  <c r="D35" i="2"/>
  <c r="D39" i="2"/>
  <c r="D43" i="2"/>
  <c r="C49" i="2"/>
  <c r="F44" i="3"/>
  <c r="F45" i="3" s="1"/>
  <c r="F46" i="3" s="1"/>
  <c r="D97" i="4"/>
  <c r="D98" i="4" s="1"/>
  <c r="D99" i="4" s="1"/>
  <c r="D49" i="2"/>
  <c r="B57" i="3"/>
  <c r="B69" i="3" s="1"/>
  <c r="D44" i="4"/>
  <c r="D45" i="4" s="1"/>
  <c r="D46" i="4" s="1"/>
  <c r="C50" i="2"/>
  <c r="D97" i="3"/>
  <c r="D98" i="3" s="1"/>
  <c r="D99" i="3" s="1"/>
  <c r="D38" i="2"/>
  <c r="D42" i="2"/>
  <c r="B49" i="2"/>
  <c r="D50" i="2"/>
  <c r="G92" i="3" l="1"/>
  <c r="G91" i="3"/>
  <c r="G92" i="4"/>
  <c r="G91" i="4"/>
  <c r="E92" i="4"/>
  <c r="G93" i="4"/>
  <c r="G42" i="4"/>
  <c r="E39" i="3"/>
  <c r="E40" i="3"/>
  <c r="E38" i="3"/>
  <c r="G95" i="3"/>
  <c r="G40" i="3"/>
  <c r="G41" i="3"/>
  <c r="E93" i="4"/>
  <c r="E40" i="4"/>
  <c r="G39" i="3"/>
  <c r="G38" i="3"/>
  <c r="E94" i="3"/>
  <c r="E93" i="3"/>
  <c r="E38" i="4"/>
  <c r="E41" i="4"/>
  <c r="E91" i="4"/>
  <c r="E91" i="3"/>
  <c r="E92" i="3"/>
  <c r="E39" i="4"/>
  <c r="G95" i="4" l="1"/>
  <c r="E42" i="3"/>
  <c r="G42" i="3"/>
  <c r="D50" i="3"/>
  <c r="G71" i="3" s="1"/>
  <c r="H71" i="3" s="1"/>
  <c r="E95" i="3"/>
  <c r="D105" i="3"/>
  <c r="D103" i="3"/>
  <c r="D52" i="3"/>
  <c r="D103" i="4"/>
  <c r="E95" i="4"/>
  <c r="D105" i="4"/>
  <c r="D50" i="4"/>
  <c r="E42" i="4"/>
  <c r="D52" i="4"/>
  <c r="G68" i="3" l="1"/>
  <c r="H68" i="3" s="1"/>
  <c r="G70" i="3"/>
  <c r="H70" i="3" s="1"/>
  <c r="D51" i="3"/>
  <c r="G61" i="3"/>
  <c r="H61" i="3" s="1"/>
  <c r="G64" i="3"/>
  <c r="H64" i="3" s="1"/>
  <c r="G63" i="3"/>
  <c r="H63" i="3" s="1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2" i="3" l="1"/>
  <c r="G73" i="3" s="1"/>
  <c r="G74" i="3"/>
  <c r="G74" i="4"/>
  <c r="G72" i="4"/>
  <c r="G73" i="4" s="1"/>
  <c r="H60" i="4"/>
  <c r="H74" i="3"/>
  <c r="H72" i="3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H74" i="4" l="1"/>
  <c r="H72" i="4"/>
  <c r="F119" i="3"/>
  <c r="F125" i="3"/>
  <c r="F120" i="3"/>
  <c r="F117" i="3"/>
  <c r="D125" i="3"/>
  <c r="F115" i="3"/>
  <c r="F125" i="4"/>
  <c r="F120" i="4"/>
  <c r="F117" i="4"/>
  <c r="D125" i="4"/>
  <c r="F115" i="4"/>
  <c r="F119" i="4"/>
  <c r="G76" i="3"/>
  <c r="H73" i="3"/>
  <c r="G124" i="3" l="1"/>
  <c r="F116" i="3"/>
  <c r="G76" i="4"/>
  <c r="H73" i="4"/>
  <c r="G124" i="4"/>
  <c r="F116" i="4"/>
</calcChain>
</file>

<file path=xl/sharedStrings.xml><?xml version="1.0" encoding="utf-8"?>
<sst xmlns="http://schemas.openxmlformats.org/spreadsheetml/2006/main" count="452" uniqueCount="137">
  <si>
    <t>HPLC System Suitability Report</t>
  </si>
  <si>
    <t>Analysis Data</t>
  </si>
  <si>
    <t>Assay</t>
  </si>
  <si>
    <t>Sample(s)</t>
  </si>
  <si>
    <t>Reference Substance:</t>
  </si>
  <si>
    <t>COSATRIM®  DS TABLETS</t>
  </si>
  <si>
    <t>% age Purity:</t>
  </si>
  <si>
    <t>NDQB201804371</t>
  </si>
  <si>
    <t>Weight (mg):</t>
  </si>
  <si>
    <t>Sulphamethoxazole 800 mg, Trimethoprim 160 mg</t>
  </si>
  <si>
    <t>Standard Conc (mg/mL):</t>
  </si>
  <si>
    <t>Each tablet contains: Sulfamethoxazole BP 800 mg and Trimethoprim BP 160 mg.</t>
  </si>
  <si>
    <t>2018-04-06 13:17:00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</si>
  <si>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</si>
  <si>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</si>
  <si>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</si>
  <si>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</si>
  <si>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</si>
  <si>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</si>
  <si>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</si>
  <si>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</si>
  <si>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</si>
  <si>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</si>
  <si>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</si>
  <si>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</si>
  <si>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</si>
  <si>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</si>
  <si>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</si>
  <si>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</si>
  <si>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</si>
  <si>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</si>
  <si>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</si>
  <si>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</si>
  <si>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</si>
  <si>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</si>
  <si>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</si>
  <si>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</si>
  <si>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</si>
  <si>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</si>
  <si>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</si>
  <si>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</si>
  <si>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</si>
  <si>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</si>
  <si>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</si>
  <si>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</si>
  <si>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</si>
  <si>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</si>
  <si>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</si>
  <si>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</si>
  <si>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</si>
  <si>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</si>
  <si>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</si>
  <si>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</si>
  <si>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</si>
  <si>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</si>
  <si>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</si>
  <si>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</si>
  <si>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</si>
  <si>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</si>
  <si>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</si>
  <si>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</si>
  <si>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</si>
  <si>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</si>
  <si>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</si>
  <si>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</si>
  <si>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</si>
  <si>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</si>
  <si>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</si>
  <si>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</si>
  <si>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</si>
  <si>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</si>
  <si>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</si>
  <si>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</si>
  <si>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</si>
  <si>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</si>
  <si>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</si>
  <si>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</si>
  <si>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</si>
  <si>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</si>
  <si>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</si>
  <si>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</si>
  <si>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</si>
  <si>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</si>
  <si>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</si>
  <si>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</si>
  <si>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</si>
  <si>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</si>
  <si>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</si>
  <si>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</si>
  <si>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</si>
  <si>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</si>
  <si>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</si>
  <si>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</si>
  <si>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</si>
  <si>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</si>
  <si>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</si>
  <si>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</si>
  <si>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</si>
  <si>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</si>
  <si>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</si>
  <si>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</si>
  <si>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</si>
  <si>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</si>
  <si>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</si>
  <si>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</si>
  <si>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</si>
  <si>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</si>
  <si>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</si>
  <si>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</si>
  <si>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</si>
  <si>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</si>
  <si>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</si>
  <si>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</si>
  <si>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</si>
  <si>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</si>
  <si>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</si>
  <si>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</si>
  <si>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</si>
  <si>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</si>
  <si>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</si>
  <si>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</si>
  <si>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</si>
  <si>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</si>
  <si>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</si>
  <si>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</si>
  <si>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</si>
  <si>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</si>
  <si>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</si>
  <si>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</si>
  <si>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</si>
  <si>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</si>
  <si>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</si>
  <si>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T7-5</t>
  </si>
  <si>
    <t>sulfamethoxazole</t>
  </si>
  <si>
    <t>2018-04-06 13:22:07</t>
  </si>
  <si>
    <t>SULFAMETHOXAZOLE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</si>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</sst>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5">
    <cellStyle name="Normal" xfId="0" builtinId="0"/>
    <cellStyle name="Normal 2" xfId="1"/>
    <cellStyle name="Normal 3" xfId="4"/>
    <cellStyle name="Normal 4" xfId="2"/>
    <cellStyle name="Normal 5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31" sqref="A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8" t="s">
        <v>135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72"/>
      <c r="D19" s="10"/>
      <c r="E19" s="10"/>
    </row>
    <row r="20" spans="1:6" ht="16.5" customHeight="1" x14ac:dyDescent="0.3">
      <c r="A20" s="7" t="s">
        <v>8</v>
      </c>
      <c r="B20" s="12">
        <v>17.34</v>
      </c>
      <c r="C20" s="72"/>
      <c r="D20" s="10"/>
      <c r="E20" s="10"/>
    </row>
    <row r="21" spans="1:6" ht="16.5" customHeight="1" x14ac:dyDescent="0.3">
      <c r="A21" s="7" t="s">
        <v>10</v>
      </c>
      <c r="B21" s="13">
        <f>17.34/100</f>
        <v>0.1734</v>
      </c>
      <c r="C21" s="72"/>
      <c r="D21" s="10"/>
      <c r="E21" s="10"/>
    </row>
    <row r="22" spans="1:6" ht="15.75" customHeight="1" x14ac:dyDescent="0.25">
      <c r="A22" s="10"/>
      <c r="B22" s="72" t="s">
        <v>134</v>
      </c>
      <c r="C22" s="72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37818089</v>
      </c>
      <c r="C24" s="18">
        <v>13721.3</v>
      </c>
      <c r="D24" s="19">
        <v>1</v>
      </c>
      <c r="E24" s="20">
        <v>9.9</v>
      </c>
    </row>
    <row r="25" spans="1:6" ht="16.5" customHeight="1" x14ac:dyDescent="0.3">
      <c r="A25" s="17">
        <v>2</v>
      </c>
      <c r="B25" s="18">
        <v>37501429</v>
      </c>
      <c r="C25" s="18">
        <v>13684.9</v>
      </c>
      <c r="D25" s="19">
        <v>1</v>
      </c>
      <c r="E25" s="19">
        <v>9.9</v>
      </c>
    </row>
    <row r="26" spans="1:6" ht="16.5" customHeight="1" x14ac:dyDescent="0.3">
      <c r="A26" s="17">
        <v>3</v>
      </c>
      <c r="B26" s="18">
        <v>37436529</v>
      </c>
      <c r="C26" s="18">
        <v>13739.6</v>
      </c>
      <c r="D26" s="19">
        <v>1</v>
      </c>
      <c r="E26" s="19">
        <v>9.9</v>
      </c>
    </row>
    <row r="27" spans="1:6" ht="16.5" customHeight="1" x14ac:dyDescent="0.3">
      <c r="A27" s="17">
        <v>4</v>
      </c>
      <c r="B27" s="18">
        <v>37600940</v>
      </c>
      <c r="C27" s="18">
        <v>13734.1</v>
      </c>
      <c r="D27" s="19">
        <v>1</v>
      </c>
      <c r="E27" s="19">
        <v>9.9</v>
      </c>
    </row>
    <row r="28" spans="1:6" ht="16.5" customHeight="1" x14ac:dyDescent="0.3">
      <c r="A28" s="17">
        <v>5</v>
      </c>
      <c r="B28" s="18">
        <v>37308068</v>
      </c>
      <c r="C28" s="18">
        <v>13745.5</v>
      </c>
      <c r="D28" s="19">
        <v>1</v>
      </c>
      <c r="E28" s="19">
        <v>9.9</v>
      </c>
    </row>
    <row r="29" spans="1:6" ht="16.5" customHeight="1" x14ac:dyDescent="0.3">
      <c r="A29" s="17">
        <v>6</v>
      </c>
      <c r="B29" s="21">
        <v>37713134</v>
      </c>
      <c r="C29" s="21">
        <v>13745.2</v>
      </c>
      <c r="D29" s="22">
        <v>1</v>
      </c>
      <c r="E29" s="22">
        <v>9.9</v>
      </c>
    </row>
    <row r="30" spans="1:6" ht="16.5" customHeight="1" x14ac:dyDescent="0.3">
      <c r="A30" s="23" t="s">
        <v>18</v>
      </c>
      <c r="B30" s="24">
        <f>AVERAGE(B24:B29)</f>
        <v>37563031.5</v>
      </c>
      <c r="C30" s="25">
        <f>AVERAGE(C24:C29)</f>
        <v>13728.433333333332</v>
      </c>
      <c r="D30" s="26">
        <f>AVERAGE(D24:D29)</f>
        <v>1</v>
      </c>
      <c r="E30" s="26">
        <f>AVERAGE(E24:E29)</f>
        <v>9.9</v>
      </c>
    </row>
    <row r="31" spans="1:6" ht="16.5" customHeight="1" x14ac:dyDescent="0.3">
      <c r="A31" s="27" t="s">
        <v>19</v>
      </c>
      <c r="B31" s="28">
        <f>(STDEV(B24:B29)/B30)</f>
        <v>4.9637749319500863E-3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B20" sqref="B20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20.77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20.77/25*4/100</f>
        <v>3.3231999999999998E-2</v>
      </c>
      <c r="C21" s="72"/>
      <c r="D21" s="72"/>
      <c r="E21" s="72"/>
    </row>
    <row r="22" spans="1:5" ht="15.75" customHeight="1" x14ac:dyDescent="0.25">
      <c r="A22" s="72"/>
      <c r="B22" s="72" t="s">
        <v>134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2468043</v>
      </c>
      <c r="C24" s="18">
        <v>8824.2000000000007</v>
      </c>
      <c r="D24" s="19">
        <v>1.1000000000000001</v>
      </c>
      <c r="E24" s="20">
        <v>5.2</v>
      </c>
    </row>
    <row r="25" spans="1:5" ht="16.5" customHeight="1" x14ac:dyDescent="0.3">
      <c r="A25" s="17">
        <v>2</v>
      </c>
      <c r="B25" s="18">
        <v>2447916</v>
      </c>
      <c r="C25" s="18">
        <v>8845.4</v>
      </c>
      <c r="D25" s="19">
        <v>1.1000000000000001</v>
      </c>
      <c r="E25" s="19">
        <v>5.2</v>
      </c>
    </row>
    <row r="26" spans="1:5" ht="16.5" customHeight="1" x14ac:dyDescent="0.3">
      <c r="A26" s="17">
        <v>3</v>
      </c>
      <c r="B26" s="18">
        <v>2445233</v>
      </c>
      <c r="C26" s="18">
        <v>8847.6</v>
      </c>
      <c r="D26" s="19">
        <v>1.1000000000000001</v>
      </c>
      <c r="E26" s="19">
        <v>5.2</v>
      </c>
    </row>
    <row r="27" spans="1:5" ht="16.5" customHeight="1" x14ac:dyDescent="0.3">
      <c r="A27" s="17">
        <v>4</v>
      </c>
      <c r="B27" s="18">
        <v>2456617</v>
      </c>
      <c r="C27" s="18">
        <v>8828.4</v>
      </c>
      <c r="D27" s="19">
        <v>1.2</v>
      </c>
      <c r="E27" s="19">
        <v>5.2</v>
      </c>
    </row>
    <row r="28" spans="1:5" ht="16.5" customHeight="1" x14ac:dyDescent="0.3">
      <c r="A28" s="17">
        <v>5</v>
      </c>
      <c r="B28" s="18">
        <v>2437625</v>
      </c>
      <c r="C28" s="18">
        <v>8871.6</v>
      </c>
      <c r="D28" s="19">
        <v>1.1000000000000001</v>
      </c>
      <c r="E28" s="19">
        <v>5.2</v>
      </c>
    </row>
    <row r="29" spans="1:5" ht="16.5" customHeight="1" x14ac:dyDescent="0.3">
      <c r="A29" s="17">
        <v>6</v>
      </c>
      <c r="B29" s="21">
        <v>2461660</v>
      </c>
      <c r="C29" s="21">
        <v>8867.9</v>
      </c>
      <c r="D29" s="22">
        <v>1.1000000000000001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2452849</v>
      </c>
      <c r="C30" s="25">
        <f>AVERAGE(C24:C29)</f>
        <v>8847.5166666666664</v>
      </c>
      <c r="D30" s="26">
        <f>AVERAGE(D24:D29)</f>
        <v>1.1166666666666665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4.6009211642007919E-3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26" sqref="C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1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90"/>
    </row>
    <row r="14" spans="1:7" ht="16.5" customHeight="1" x14ac:dyDescent="0.3">
      <c r="A14" s="482" t="s">
        <v>33</v>
      </c>
      <c r="B14" s="482"/>
      <c r="C14" s="60" t="s">
        <v>5</v>
      </c>
    </row>
    <row r="15" spans="1:7" ht="16.5" customHeight="1" x14ac:dyDescent="0.3">
      <c r="A15" s="482" t="s">
        <v>34</v>
      </c>
      <c r="B15" s="482"/>
      <c r="C15" s="60" t="s">
        <v>7</v>
      </c>
    </row>
    <row r="16" spans="1:7" ht="16.5" customHeight="1" x14ac:dyDescent="0.3">
      <c r="A16" s="482" t="s">
        <v>35</v>
      </c>
      <c r="B16" s="482"/>
      <c r="C16" s="60" t="s">
        <v>9</v>
      </c>
    </row>
    <row r="17" spans="1:5" ht="16.5" customHeight="1" x14ac:dyDescent="0.3">
      <c r="A17" s="482" t="s">
        <v>36</v>
      </c>
      <c r="B17" s="482"/>
      <c r="C17" s="60" t="s">
        <v>11</v>
      </c>
    </row>
    <row r="18" spans="1:5" ht="16.5" customHeight="1" x14ac:dyDescent="0.3">
      <c r="A18" s="482" t="s">
        <v>37</v>
      </c>
      <c r="B18" s="482"/>
      <c r="C18" s="97" t="s">
        <v>12</v>
      </c>
    </row>
    <row r="19" spans="1:5" ht="16.5" customHeight="1" x14ac:dyDescent="0.3">
      <c r="A19" s="482" t="s">
        <v>38</v>
      </c>
      <c r="B19" s="48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7" t="s">
        <v>1</v>
      </c>
      <c r="B21" s="477"/>
      <c r="C21" s="59" t="s">
        <v>39</v>
      </c>
      <c r="D21" s="66"/>
    </row>
    <row r="22" spans="1:5" ht="15.75" customHeight="1" x14ac:dyDescent="0.3">
      <c r="A22" s="481"/>
      <c r="B22" s="481"/>
      <c r="C22" s="57"/>
      <c r="D22" s="481"/>
      <c r="E22" s="48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1062.0999999999999</v>
      </c>
      <c r="D24" s="87">
        <f t="shared" ref="D24:D43" si="0">(C24-$C$46)/$C$46</f>
        <v>2.3205972588828034E-3</v>
      </c>
      <c r="E24" s="53"/>
    </row>
    <row r="25" spans="1:5" ht="15.75" customHeight="1" x14ac:dyDescent="0.3">
      <c r="C25" s="95">
        <v>1062.32</v>
      </c>
      <c r="D25" s="88">
        <f t="shared" si="0"/>
        <v>2.5282147444274615E-3</v>
      </c>
      <c r="E25" s="53"/>
    </row>
    <row r="26" spans="1:5" ht="15.75" customHeight="1" x14ac:dyDescent="0.3">
      <c r="C26" s="95">
        <v>1057.3</v>
      </c>
      <c r="D26" s="88">
        <f t="shared" si="0"/>
        <v>-2.2092387893636821E-3</v>
      </c>
      <c r="E26" s="53"/>
    </row>
    <row r="27" spans="1:5" ht="15.75" customHeight="1" x14ac:dyDescent="0.3">
      <c r="C27" s="95">
        <v>1061.6400000000001</v>
      </c>
      <c r="D27" s="88">
        <f t="shared" si="0"/>
        <v>1.8864879709260245E-3</v>
      </c>
      <c r="E27" s="53"/>
    </row>
    <row r="28" spans="1:5" ht="15.75" customHeight="1" x14ac:dyDescent="0.3">
      <c r="C28" s="95">
        <v>1057.1600000000001</v>
      </c>
      <c r="D28" s="88">
        <f t="shared" si="0"/>
        <v>-2.3413590074374191E-3</v>
      </c>
      <c r="E28" s="53"/>
    </row>
    <row r="29" spans="1:5" ht="15.75" customHeight="1" x14ac:dyDescent="0.3">
      <c r="C29" s="95">
        <v>1061.44</v>
      </c>
      <c r="D29" s="88">
        <f t="shared" si="0"/>
        <v>1.697744802249043E-3</v>
      </c>
      <c r="E29" s="53"/>
    </row>
    <row r="30" spans="1:5" ht="15.75" customHeight="1" x14ac:dyDescent="0.3">
      <c r="C30" s="95">
        <v>1056.48</v>
      </c>
      <c r="D30" s="88">
        <f t="shared" si="0"/>
        <v>-2.9830857809390707E-3</v>
      </c>
      <c r="E30" s="53"/>
    </row>
    <row r="31" spans="1:5" ht="15.75" customHeight="1" x14ac:dyDescent="0.3">
      <c r="C31" s="95">
        <v>1067.1600000000001</v>
      </c>
      <c r="D31" s="88">
        <f t="shared" si="0"/>
        <v>7.0957994264095152E-3</v>
      </c>
      <c r="E31" s="53"/>
    </row>
    <row r="32" spans="1:5" ht="15.75" customHeight="1" x14ac:dyDescent="0.3">
      <c r="C32" s="95">
        <v>1062.8599999999999</v>
      </c>
      <c r="D32" s="88">
        <f t="shared" si="0"/>
        <v>3.0378212998551615E-3</v>
      </c>
      <c r="E32" s="53"/>
    </row>
    <row r="33" spans="1:7" ht="15.75" customHeight="1" x14ac:dyDescent="0.3">
      <c r="C33" s="95">
        <v>1063</v>
      </c>
      <c r="D33" s="88">
        <f t="shared" si="0"/>
        <v>3.1699415179291131E-3</v>
      </c>
      <c r="E33" s="53"/>
    </row>
    <row r="34" spans="1:7" ht="15.75" customHeight="1" x14ac:dyDescent="0.3">
      <c r="C34" s="95">
        <v>1060.1099999999999</v>
      </c>
      <c r="D34" s="88">
        <f t="shared" si="0"/>
        <v>4.4260273054725469E-4</v>
      </c>
      <c r="E34" s="53"/>
    </row>
    <row r="35" spans="1:7" ht="15.75" customHeight="1" x14ac:dyDescent="0.3">
      <c r="C35" s="95">
        <v>1064.53</v>
      </c>
      <c r="D35" s="88">
        <f t="shared" si="0"/>
        <v>4.6138267583076681E-3</v>
      </c>
      <c r="E35" s="53"/>
    </row>
    <row r="36" spans="1:7" ht="15.75" customHeight="1" x14ac:dyDescent="0.3">
      <c r="C36" s="95">
        <v>1059.21</v>
      </c>
      <c r="D36" s="88">
        <f t="shared" si="0"/>
        <v>-4.0674152849884063E-4</v>
      </c>
      <c r="E36" s="53"/>
    </row>
    <row r="37" spans="1:7" ht="15.75" customHeight="1" x14ac:dyDescent="0.3">
      <c r="C37" s="95">
        <v>1054.46</v>
      </c>
      <c r="D37" s="88">
        <f t="shared" si="0"/>
        <v>-4.8893917845761348E-3</v>
      </c>
      <c r="E37" s="53"/>
    </row>
    <row r="38" spans="1:7" ht="15.75" customHeight="1" x14ac:dyDescent="0.3">
      <c r="C38" s="95">
        <v>1055.6099999999999</v>
      </c>
      <c r="D38" s="88">
        <f t="shared" si="0"/>
        <v>-3.8041185646838656E-3</v>
      </c>
      <c r="E38" s="53"/>
    </row>
    <row r="39" spans="1:7" ht="15.75" customHeight="1" x14ac:dyDescent="0.3">
      <c r="C39" s="95">
        <v>1058.82</v>
      </c>
      <c r="D39" s="88">
        <f t="shared" si="0"/>
        <v>-7.7479070741896545E-4</v>
      </c>
      <c r="E39" s="53"/>
    </row>
    <row r="40" spans="1:7" ht="15.75" customHeight="1" x14ac:dyDescent="0.3">
      <c r="C40" s="95">
        <v>1058.17</v>
      </c>
      <c r="D40" s="88">
        <f t="shared" si="0"/>
        <v>-1.3882060056188874E-3</v>
      </c>
      <c r="E40" s="53"/>
    </row>
    <row r="41" spans="1:7" ht="15.75" customHeight="1" x14ac:dyDescent="0.3">
      <c r="C41" s="95">
        <v>1056.96</v>
      </c>
      <c r="D41" s="88">
        <f t="shared" si="0"/>
        <v>-2.5301021761144011E-3</v>
      </c>
      <c r="E41" s="53"/>
    </row>
    <row r="42" spans="1:7" ht="15.75" customHeight="1" x14ac:dyDescent="0.3">
      <c r="C42" s="95">
        <v>1052.23</v>
      </c>
      <c r="D42" s="88">
        <f t="shared" si="0"/>
        <v>-6.9938781153240179E-3</v>
      </c>
      <c r="E42" s="53"/>
    </row>
    <row r="43" spans="1:7" ht="16.5" customHeight="1" x14ac:dyDescent="0.3">
      <c r="C43" s="96">
        <v>1061.26</v>
      </c>
      <c r="D43" s="89">
        <f t="shared" si="0"/>
        <v>1.5278759504397379E-3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21192.82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1059.6410000000001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5">
        <f>C46</f>
        <v>1059.6410000000001</v>
      </c>
      <c r="C49" s="93">
        <f>-IF(C46&lt;=80,10%,IF(C46&lt;250,7.5%,5%))</f>
        <v>-0.05</v>
      </c>
      <c r="D49" s="81">
        <f>IF(C46&lt;=80,C46*0.9,IF(C46&lt;250,C46*0.925,C46*0.95))</f>
        <v>1006.65895</v>
      </c>
    </row>
    <row r="50" spans="1:6" ht="17.25" customHeight="1" x14ac:dyDescent="0.3">
      <c r="B50" s="476"/>
      <c r="C50" s="94">
        <f>IF(C46&lt;=80, 10%, IF(C46&lt;250, 7.5%, 5%))</f>
        <v>0.05</v>
      </c>
      <c r="D50" s="81">
        <f>IF(C46&lt;=80, C46*1.1, IF(C46&lt;250, C46*1.075, C46*1.05))</f>
        <v>1112.6230500000001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9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0" workbookViewId="0">
      <selection activeCell="F68" sqref="F68: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3" t="s">
        <v>45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 x14ac:dyDescent="0.25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 x14ac:dyDescent="0.25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 x14ac:dyDescent="0.25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 x14ac:dyDescent="0.25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 x14ac:dyDescent="0.25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 x14ac:dyDescent="0.25">
      <c r="A7" s="483"/>
      <c r="B7" s="483"/>
      <c r="C7" s="483"/>
      <c r="D7" s="483"/>
      <c r="E7" s="483"/>
      <c r="F7" s="483"/>
      <c r="G7" s="483"/>
      <c r="H7" s="483"/>
      <c r="I7" s="483"/>
    </row>
    <row r="8" spans="1:9" x14ac:dyDescent="0.25">
      <c r="A8" s="484" t="s">
        <v>46</v>
      </c>
      <c r="B8" s="484"/>
      <c r="C8" s="484"/>
      <c r="D8" s="484"/>
      <c r="E8" s="484"/>
      <c r="F8" s="484"/>
      <c r="G8" s="484"/>
      <c r="H8" s="484"/>
      <c r="I8" s="484"/>
    </row>
    <row r="9" spans="1:9" x14ac:dyDescent="0.25">
      <c r="A9" s="484"/>
      <c r="B9" s="484"/>
      <c r="C9" s="484"/>
      <c r="D9" s="484"/>
      <c r="E9" s="484"/>
      <c r="F9" s="484"/>
      <c r="G9" s="484"/>
      <c r="H9" s="484"/>
      <c r="I9" s="484"/>
    </row>
    <row r="10" spans="1:9" x14ac:dyDescent="0.25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 x14ac:dyDescent="0.25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 x14ac:dyDescent="0.25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 x14ac:dyDescent="0.25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 x14ac:dyDescent="0.25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x14ac:dyDescent="0.3">
      <c r="A15" s="98"/>
    </row>
    <row r="16" spans="1:9" ht="19.5" customHeight="1" x14ac:dyDescent="0.3">
      <c r="A16" s="516" t="s">
        <v>31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47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100" t="s">
        <v>33</v>
      </c>
      <c r="B18" s="515" t="s">
        <v>5</v>
      </c>
      <c r="C18" s="515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0" t="s">
        <v>131</v>
      </c>
      <c r="C20" s="52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0" t="s">
        <v>11</v>
      </c>
      <c r="C21" s="520"/>
      <c r="D21" s="520"/>
      <c r="E21" s="520"/>
      <c r="F21" s="520"/>
      <c r="G21" s="520"/>
      <c r="H21" s="52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5" t="s">
        <v>131</v>
      </c>
      <c r="C26" s="515"/>
    </row>
    <row r="27" spans="1:14" ht="26.25" customHeight="1" x14ac:dyDescent="0.4">
      <c r="A27" s="109" t="s">
        <v>48</v>
      </c>
      <c r="B27" s="521" t="s">
        <v>132</v>
      </c>
      <c r="C27" s="521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491" t="s">
        <v>50</v>
      </c>
      <c r="D29" s="492"/>
      <c r="E29" s="492"/>
      <c r="F29" s="492"/>
      <c r="G29" s="49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4" t="s">
        <v>53</v>
      </c>
      <c r="D31" s="495"/>
      <c r="E31" s="495"/>
      <c r="F31" s="495"/>
      <c r="G31" s="495"/>
      <c r="H31" s="49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4" t="s">
        <v>55</v>
      </c>
      <c r="D32" s="495"/>
      <c r="E32" s="495"/>
      <c r="F32" s="495"/>
      <c r="G32" s="495"/>
      <c r="H32" s="49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97" t="s">
        <v>59</v>
      </c>
      <c r="E36" s="522"/>
      <c r="F36" s="497" t="s">
        <v>60</v>
      </c>
      <c r="G36" s="49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319">
        <v>2448128</v>
      </c>
      <c r="E38" s="132">
        <f>IF(ISBLANK(D38),"-",$D$48/$D$45*D38)</f>
        <v>2364462.6706310553</v>
      </c>
      <c r="F38" s="319">
        <v>2340642</v>
      </c>
      <c r="G38" s="133">
        <f>IF(ISBLANK(F38),"-",$D$48/$F$45*F38)</f>
        <v>2396819.862343539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24">
        <v>2474545</v>
      </c>
      <c r="E39" s="137">
        <f>IF(ISBLANK(D39),"-",$D$48/$D$45*D39)</f>
        <v>2389976.8636675552</v>
      </c>
      <c r="F39" s="324">
        <v>2361823</v>
      </c>
      <c r="G39" s="138">
        <f>IF(ISBLANK(F39),"-",$D$48/$F$45*F39)</f>
        <v>2418509.2285534497</v>
      </c>
      <c r="I39" s="499">
        <f>ABS((F43/D43*D42)-F42)/D42</f>
        <v>1.2152674422336401E-2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24">
        <v>2465364</v>
      </c>
      <c r="E40" s="137">
        <f>IF(ISBLANK(D40),"-",$D$48/$D$45*D40)</f>
        <v>2381109.6264238064</v>
      </c>
      <c r="F40" s="324">
        <v>2355622</v>
      </c>
      <c r="G40" s="138">
        <f>IF(ISBLANK(F40),"-",$D$48/$F$45*F40)</f>
        <v>2412159.3980512233</v>
      </c>
      <c r="I40" s="499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2462679</v>
      </c>
      <c r="E42" s="147">
        <f>AVERAGE(E38:E41)</f>
        <v>2378516.3869074718</v>
      </c>
      <c r="F42" s="146">
        <f>AVERAGE(F38:F41)</f>
        <v>2352695.6666666665</v>
      </c>
      <c r="G42" s="148">
        <f>AVERAGE(G38:G41)</f>
        <v>2409162.8296494037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20.77</v>
      </c>
      <c r="E43" s="139"/>
      <c r="F43" s="151">
        <v>19.59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20.77</v>
      </c>
      <c r="E44" s="154"/>
      <c r="F44" s="153">
        <f>F43*$B$34</f>
        <v>19.59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625</v>
      </c>
      <c r="C45" s="152" t="s">
        <v>77</v>
      </c>
      <c r="D45" s="156">
        <f>D44*$B$30/100</f>
        <v>20.707690000000003</v>
      </c>
      <c r="E45" s="157"/>
      <c r="F45" s="156">
        <f>F44*$B$30/100</f>
        <v>19.531230000000001</v>
      </c>
      <c r="H45" s="149"/>
    </row>
    <row r="46" spans="1:14" ht="19.5" customHeight="1" x14ac:dyDescent="0.3">
      <c r="A46" s="485" t="s">
        <v>78</v>
      </c>
      <c r="B46" s="486"/>
      <c r="C46" s="152" t="s">
        <v>79</v>
      </c>
      <c r="D46" s="158">
        <f>D45/$B$45</f>
        <v>3.3132304000000008E-2</v>
      </c>
      <c r="E46" s="159"/>
      <c r="F46" s="160">
        <f>F45/$B$45</f>
        <v>3.1249967999999999E-2</v>
      </c>
      <c r="H46" s="149"/>
    </row>
    <row r="47" spans="1:14" ht="27" customHeight="1" x14ac:dyDescent="0.4">
      <c r="A47" s="487"/>
      <c r="B47" s="488"/>
      <c r="C47" s="161" t="s">
        <v>80</v>
      </c>
      <c r="D47" s="162">
        <v>3.2000000000000001E-2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2393839.608278438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8.3402798555656868E-3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Sulfamethoxazole BP 800 mg and Trimethoprim BP 160 mg.</v>
      </c>
    </row>
    <row r="56" spans="1:12" ht="26.25" customHeight="1" x14ac:dyDescent="0.4">
      <c r="A56" s="176" t="s">
        <v>87</v>
      </c>
      <c r="B56" s="177">
        <v>160</v>
      </c>
      <c r="C56" s="99" t="str">
        <f>B20</f>
        <v>TRIMETHOPRIM</v>
      </c>
      <c r="H56" s="178"/>
    </row>
    <row r="57" spans="1:12" ht="18.75" x14ac:dyDescent="0.3">
      <c r="A57" s="175" t="s">
        <v>88</v>
      </c>
      <c r="B57" s="246">
        <f>Uniformity!C46</f>
        <v>1059.6410000000001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2" t="s">
        <v>94</v>
      </c>
      <c r="D60" s="505">
        <v>1054.24</v>
      </c>
      <c r="E60" s="181">
        <v>1</v>
      </c>
      <c r="F60" s="182">
        <v>2388108</v>
      </c>
      <c r="G60" s="247">
        <f>IF(ISBLANK(F60),"-",(F60/$D$50*$D$47*$B$68)*($B$57/$D$60))</f>
        <v>160.43464633278035</v>
      </c>
      <c r="H60" s="265">
        <f t="shared" ref="H60:H71" si="0">IF(ISBLANK(F60),"-",(G60/$B$56)*100)</f>
        <v>100.27165395798772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3"/>
      <c r="D61" s="506"/>
      <c r="E61" s="183">
        <v>2</v>
      </c>
      <c r="F61" s="136">
        <v>2385761</v>
      </c>
      <c r="G61" s="248">
        <f>IF(ISBLANK(F61),"-",(F61/$D$50*$D$47*$B$68)*($B$57/$D$60))</f>
        <v>160.27697334858408</v>
      </c>
      <c r="H61" s="266">
        <f t="shared" si="0"/>
        <v>100.17310834286506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3"/>
      <c r="D62" s="506"/>
      <c r="E62" s="183">
        <v>3</v>
      </c>
      <c r="F62" s="184">
        <v>2375085</v>
      </c>
      <c r="G62" s="248">
        <f>IF(ISBLANK(F62),"-",(F62/$D$50*$D$47*$B$68)*($B$57/$D$60))</f>
        <v>159.55975273534179</v>
      </c>
      <c r="H62" s="266">
        <f t="shared" si="0"/>
        <v>99.724845459588622</v>
      </c>
      <c r="L62" s="112"/>
    </row>
    <row r="63" spans="1:12" ht="27" customHeight="1" x14ac:dyDescent="0.4">
      <c r="A63" s="124" t="s">
        <v>97</v>
      </c>
      <c r="B63" s="125">
        <v>1</v>
      </c>
      <c r="C63" s="512"/>
      <c r="D63" s="507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2" t="s">
        <v>99</v>
      </c>
      <c r="D64" s="505">
        <v>1044.72</v>
      </c>
      <c r="E64" s="181">
        <v>1</v>
      </c>
      <c r="F64" s="182">
        <v>2335588</v>
      </c>
      <c r="G64" s="247">
        <f>IF(ISBLANK(F64),"-",(F64/$D$50*$D$47*$B$68)*($B$57/$D$64))</f>
        <v>158.33612580145584</v>
      </c>
      <c r="H64" s="265">
        <f t="shared" si="0"/>
        <v>98.960078625909901</v>
      </c>
    </row>
    <row r="65" spans="1:8" ht="26.25" customHeight="1" x14ac:dyDescent="0.4">
      <c r="A65" s="124" t="s">
        <v>100</v>
      </c>
      <c r="B65" s="125">
        <v>1</v>
      </c>
      <c r="C65" s="503"/>
      <c r="D65" s="506"/>
      <c r="E65" s="183">
        <v>2</v>
      </c>
      <c r="F65" s="136">
        <v>2340371</v>
      </c>
      <c r="G65" s="248">
        <f>IF(ISBLANK(F65),"-",(F65/$D$50*$D$47*$B$68)*($B$57/$D$64))</f>
        <v>158.66037891874726</v>
      </c>
      <c r="H65" s="266">
        <f t="shared" si="0"/>
        <v>99.162736824217035</v>
      </c>
    </row>
    <row r="66" spans="1:8" ht="26.25" customHeight="1" x14ac:dyDescent="0.4">
      <c r="A66" s="124" t="s">
        <v>101</v>
      </c>
      <c r="B66" s="125">
        <v>1</v>
      </c>
      <c r="C66" s="503"/>
      <c r="D66" s="506"/>
      <c r="E66" s="183">
        <v>3</v>
      </c>
      <c r="F66" s="136">
        <v>2357446</v>
      </c>
      <c r="G66" s="248">
        <f>IF(ISBLANK(F66),"-",(F66/$D$50*$D$47*$B$68)*($B$57/$D$64))</f>
        <v>159.81794153169946</v>
      </c>
      <c r="H66" s="266">
        <f t="shared" si="0"/>
        <v>99.886213457312166</v>
      </c>
    </row>
    <row r="67" spans="1:8" ht="27" customHeight="1" x14ac:dyDescent="0.4">
      <c r="A67" s="124" t="s">
        <v>102</v>
      </c>
      <c r="B67" s="125">
        <v>1</v>
      </c>
      <c r="C67" s="512"/>
      <c r="D67" s="507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502" t="s">
        <v>104</v>
      </c>
      <c r="D68" s="505">
        <v>1063.22</v>
      </c>
      <c r="E68" s="181">
        <v>1</v>
      </c>
      <c r="F68" s="182"/>
      <c r="G68" s="247" t="str">
        <f>IF(ISBLANK(F68),"-",(F68/$D$50*$D$47*$B$68)*($B$57/$D$68))</f>
        <v>-</v>
      </c>
      <c r="H68" s="266" t="str">
        <f t="shared" si="0"/>
        <v>-</v>
      </c>
    </row>
    <row r="69" spans="1:8" ht="27" customHeight="1" x14ac:dyDescent="0.4">
      <c r="A69" s="171" t="s">
        <v>105</v>
      </c>
      <c r="B69" s="188">
        <f>(D47*B68)/B56*B57</f>
        <v>1059.6410000000001</v>
      </c>
      <c r="C69" s="503"/>
      <c r="D69" s="506"/>
      <c r="E69" s="183">
        <v>2</v>
      </c>
      <c r="F69" s="136"/>
      <c r="G69" s="248" t="str">
        <f>IF(ISBLANK(F69),"-",(F69/$D$50*$D$47*$B$68)*($B$57/$D$68))</f>
        <v>-</v>
      </c>
      <c r="H69" s="266" t="str">
        <f t="shared" si="0"/>
        <v>-</v>
      </c>
    </row>
    <row r="70" spans="1:8" ht="26.25" customHeight="1" x14ac:dyDescent="0.4">
      <c r="A70" s="508" t="s">
        <v>78</v>
      </c>
      <c r="B70" s="509"/>
      <c r="C70" s="503"/>
      <c r="D70" s="506"/>
      <c r="E70" s="183">
        <v>3</v>
      </c>
      <c r="F70" s="136"/>
      <c r="G70" s="248" t="str">
        <f>IF(ISBLANK(F70),"-",(F70/$D$50*$D$47*$B$68)*($B$57/$D$68))</f>
        <v>-</v>
      </c>
      <c r="H70" s="266" t="str">
        <f t="shared" si="0"/>
        <v>-</v>
      </c>
    </row>
    <row r="71" spans="1:8" ht="27" customHeight="1" x14ac:dyDescent="0.4">
      <c r="A71" s="510"/>
      <c r="B71" s="511"/>
      <c r="C71" s="504"/>
      <c r="D71" s="507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159.5143031114348</v>
      </c>
      <c r="H72" s="268">
        <f>AVERAGE(H60:H71)</f>
        <v>99.696439444646742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5.349101523685007E-3</v>
      </c>
      <c r="H73" s="252">
        <f>STDEV(H60:H71)/H72</f>
        <v>5.3491015236850417E-3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6</v>
      </c>
      <c r="H74" s="195">
        <f>COUNT(H60:H71)</f>
        <v>6</v>
      </c>
    </row>
    <row r="76" spans="1:8" ht="26.25" customHeight="1" x14ac:dyDescent="0.4">
      <c r="A76" s="108" t="s">
        <v>106</v>
      </c>
      <c r="B76" s="196" t="s">
        <v>107</v>
      </c>
      <c r="C76" s="489" t="str">
        <f>B26</f>
        <v>TRIMETHOPRIM</v>
      </c>
      <c r="D76" s="489"/>
      <c r="E76" s="197" t="s">
        <v>108</v>
      </c>
      <c r="F76" s="197"/>
      <c r="G76" s="284">
        <f>H72</f>
        <v>99.696439444646742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3" t="str">
        <f>B26</f>
        <v>TRIMETHOPRIM</v>
      </c>
      <c r="C79" s="523"/>
    </row>
    <row r="80" spans="1:8" ht="26.25" customHeight="1" x14ac:dyDescent="0.4">
      <c r="A80" s="109" t="s">
        <v>48</v>
      </c>
      <c r="B80" s="523" t="str">
        <f>B27</f>
        <v>T7-5</v>
      </c>
      <c r="C80" s="523"/>
    </row>
    <row r="81" spans="1:12" ht="27" customHeight="1" x14ac:dyDescent="0.4">
      <c r="A81" s="109" t="s">
        <v>6</v>
      </c>
      <c r="B81" s="200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491" t="s">
        <v>50</v>
      </c>
      <c r="D82" s="492"/>
      <c r="E82" s="492"/>
      <c r="F82" s="492"/>
      <c r="G82" s="49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4" t="s">
        <v>111</v>
      </c>
      <c r="D84" s="495"/>
      <c r="E84" s="495"/>
      <c r="F84" s="495"/>
      <c r="G84" s="495"/>
      <c r="H84" s="49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4" t="s">
        <v>112</v>
      </c>
      <c r="D85" s="495"/>
      <c r="E85" s="495"/>
      <c r="F85" s="495"/>
      <c r="G85" s="495"/>
      <c r="H85" s="49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1" t="s">
        <v>59</v>
      </c>
      <c r="E89" s="202"/>
      <c r="F89" s="497" t="s">
        <v>60</v>
      </c>
      <c r="G89" s="498"/>
    </row>
    <row r="90" spans="1:12" ht="27" customHeight="1" x14ac:dyDescent="0.4">
      <c r="A90" s="124" t="s">
        <v>61</v>
      </c>
      <c r="B90" s="125">
        <v>4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5">
        <v>1</v>
      </c>
      <c r="D91" s="319">
        <v>2448128</v>
      </c>
      <c r="E91" s="132">
        <f>IF(ISBLANK(D91),"-",$D$101/$D$98*D91)</f>
        <v>2627180.7451456166</v>
      </c>
      <c r="F91" s="319">
        <v>2340642</v>
      </c>
      <c r="G91" s="133">
        <f>IF(ISBLANK(F91),"-",$D$101/$F$98*F91)</f>
        <v>2663133.1803817097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324">
        <v>2474545</v>
      </c>
      <c r="E92" s="137">
        <f>IF(ISBLANK(D92),"-",$D$101/$D$98*D92)</f>
        <v>2655529.8485195055</v>
      </c>
      <c r="F92" s="324">
        <v>2361823</v>
      </c>
      <c r="G92" s="138">
        <f>IF(ISBLANK(F92),"-",$D$101/$F$98*F92)</f>
        <v>2687232.4761704998</v>
      </c>
      <c r="I92" s="499">
        <f>ABS((F96/D96*D95)-F95)/D95</f>
        <v>1.2152674422336401E-2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324">
        <v>2465364</v>
      </c>
      <c r="E93" s="137">
        <f>IF(ISBLANK(D93),"-",$D$101/$D$98*D93)</f>
        <v>2645677.3626931184</v>
      </c>
      <c r="F93" s="324">
        <v>2355622</v>
      </c>
      <c r="G93" s="138">
        <f>IF(ISBLANK(F93),"-",$D$101/$F$98*F93)</f>
        <v>2680177.1089458037</v>
      </c>
      <c r="I93" s="499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>
        <f>AVERAGE(D91:D94)</f>
        <v>2462679</v>
      </c>
      <c r="E95" s="147">
        <f>AVERAGE(E91:E94)</f>
        <v>2642795.985452747</v>
      </c>
      <c r="F95" s="210">
        <f>AVERAGE(F91:F94)</f>
        <v>2352695.6666666665</v>
      </c>
      <c r="G95" s="211">
        <f>AVERAGE(G91:G94)</f>
        <v>2676847.5884993379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>
        <v>20.77</v>
      </c>
      <c r="E96" s="139"/>
      <c r="F96" s="151">
        <v>19.59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20.77</v>
      </c>
      <c r="E97" s="154"/>
      <c r="F97" s="153">
        <f>F96*$B$87</f>
        <v>19.59</v>
      </c>
    </row>
    <row r="98" spans="1:10" ht="19.5" customHeight="1" x14ac:dyDescent="0.3">
      <c r="A98" s="124" t="s">
        <v>76</v>
      </c>
      <c r="B98" s="216">
        <f>(B97/B96)*(B95/B94)*(B93/B92)*(B91/B90)*B89</f>
        <v>625</v>
      </c>
      <c r="C98" s="214" t="s">
        <v>115</v>
      </c>
      <c r="D98" s="217">
        <f>D97*$B$83/100</f>
        <v>20.707690000000003</v>
      </c>
      <c r="E98" s="157"/>
      <c r="F98" s="156">
        <f>F97*$B$83/100</f>
        <v>19.531230000000001</v>
      </c>
    </row>
    <row r="99" spans="1:10" ht="19.5" customHeight="1" x14ac:dyDescent="0.3">
      <c r="A99" s="485" t="s">
        <v>78</v>
      </c>
      <c r="B99" s="500"/>
      <c r="C99" s="214" t="s">
        <v>116</v>
      </c>
      <c r="D99" s="218">
        <f>D98/$B$98</f>
        <v>3.3132304000000008E-2</v>
      </c>
      <c r="E99" s="157"/>
      <c r="F99" s="160">
        <f>F98/$B$98</f>
        <v>3.1249967999999999E-2</v>
      </c>
      <c r="G99" s="219"/>
      <c r="H99" s="149"/>
    </row>
    <row r="100" spans="1:10" ht="19.5" customHeight="1" x14ac:dyDescent="0.3">
      <c r="A100" s="487"/>
      <c r="B100" s="501"/>
      <c r="C100" s="214" t="s">
        <v>80</v>
      </c>
      <c r="D100" s="220">
        <f>$B$56/$B$116</f>
        <v>3.5555555555555556E-2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2659821.7869760422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8.3402798555657354E-3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4</v>
      </c>
      <c r="C108" s="274">
        <v>1</v>
      </c>
      <c r="D108" s="275">
        <v>2157227</v>
      </c>
      <c r="E108" s="249">
        <f t="shared" ref="E108:E113" si="1">IF(ISBLANK(D108),"-",D108/$D$103*$D$100*$B$116)</f>
        <v>129.76670906677887</v>
      </c>
      <c r="F108" s="276">
        <f t="shared" ref="F108:F113" si="2">IF(ISBLANK(D108), "-", (E108/$B$56)*100)</f>
        <v>81.104193166736792</v>
      </c>
    </row>
    <row r="109" spans="1:10" ht="26.25" customHeight="1" x14ac:dyDescent="0.4">
      <c r="A109" s="124" t="s">
        <v>95</v>
      </c>
      <c r="B109" s="125">
        <v>20</v>
      </c>
      <c r="C109" s="270">
        <v>2</v>
      </c>
      <c r="D109" s="272">
        <v>2633711</v>
      </c>
      <c r="E109" s="250">
        <f t="shared" si="1"/>
        <v>158.42932111593973</v>
      </c>
      <c r="F109" s="277">
        <f t="shared" si="2"/>
        <v>99.01832569746233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2678477</v>
      </c>
      <c r="E110" s="250">
        <f t="shared" si="1"/>
        <v>161.12219326063445</v>
      </c>
      <c r="F110" s="277">
        <f t="shared" si="2"/>
        <v>100.70137078789654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2158970</v>
      </c>
      <c r="E111" s="250">
        <f t="shared" si="1"/>
        <v>129.87155819665878</v>
      </c>
      <c r="F111" s="277">
        <f t="shared" si="2"/>
        <v>81.169723872911732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2125502</v>
      </c>
      <c r="E112" s="250">
        <f t="shared" si="1"/>
        <v>127.85831053239028</v>
      </c>
      <c r="F112" s="277">
        <f t="shared" si="2"/>
        <v>79.911444082743927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2624229</v>
      </c>
      <c r="E113" s="251">
        <f t="shared" si="1"/>
        <v>157.85893703704065</v>
      </c>
      <c r="F113" s="278">
        <f t="shared" si="2"/>
        <v>98.661835648150415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144.15117153490712</v>
      </c>
      <c r="F115" s="280">
        <f>AVERAGE(F108:F113)</f>
        <v>90.094482209316951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0.1142448152100282</v>
      </c>
      <c r="F116" s="234">
        <f>STDEV(F108:F113)/F115</f>
        <v>0.11424481521002749</v>
      </c>
      <c r="I116" s="98"/>
    </row>
    <row r="117" spans="1:10" ht="27" customHeight="1" x14ac:dyDescent="0.4">
      <c r="A117" s="485" t="s">
        <v>78</v>
      </c>
      <c r="B117" s="486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487"/>
      <c r="B118" s="488"/>
      <c r="C118" s="98"/>
      <c r="D118" s="259"/>
      <c r="E118" s="513" t="s">
        <v>123</v>
      </c>
      <c r="F118" s="514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127.85831053239028</v>
      </c>
      <c r="F119" s="281">
        <f>MIN(F108:F113)</f>
        <v>79.911444082743927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161.12219326063445</v>
      </c>
      <c r="F120" s="282">
        <f>MAX(F108:F113)</f>
        <v>100.70137078789654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489" t="str">
        <f>B26</f>
        <v>TRIMETHOPRIM</v>
      </c>
      <c r="D124" s="489"/>
      <c r="E124" s="197" t="s">
        <v>127</v>
      </c>
      <c r="F124" s="197"/>
      <c r="G124" s="283">
        <f>F115</f>
        <v>90.094482209316951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79.911444082743927</v>
      </c>
      <c r="E125" s="208" t="s">
        <v>130</v>
      </c>
      <c r="F125" s="283">
        <f>MAX(F108:F113)</f>
        <v>100.70137078789654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90" t="s">
        <v>26</v>
      </c>
      <c r="C127" s="490"/>
      <c r="E127" s="203" t="s">
        <v>27</v>
      </c>
      <c r="F127" s="238"/>
      <c r="G127" s="490" t="s">
        <v>28</v>
      </c>
      <c r="H127" s="490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7" zoomScale="60" zoomScaleNormal="40" zoomScalePageLayoutView="50" workbookViewId="0">
      <selection activeCell="F68" sqref="F68: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3" t="s">
        <v>45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 x14ac:dyDescent="0.25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 x14ac:dyDescent="0.25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 x14ac:dyDescent="0.25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 x14ac:dyDescent="0.25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 x14ac:dyDescent="0.25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 x14ac:dyDescent="0.25">
      <c r="A7" s="483"/>
      <c r="B7" s="483"/>
      <c r="C7" s="483"/>
      <c r="D7" s="483"/>
      <c r="E7" s="483"/>
      <c r="F7" s="483"/>
      <c r="G7" s="483"/>
      <c r="H7" s="483"/>
      <c r="I7" s="483"/>
    </row>
    <row r="8" spans="1:9" x14ac:dyDescent="0.25">
      <c r="A8" s="484" t="s">
        <v>46</v>
      </c>
      <c r="B8" s="484"/>
      <c r="C8" s="484"/>
      <c r="D8" s="484"/>
      <c r="E8" s="484"/>
      <c r="F8" s="484"/>
      <c r="G8" s="484"/>
      <c r="H8" s="484"/>
      <c r="I8" s="484"/>
    </row>
    <row r="9" spans="1:9" x14ac:dyDescent="0.25">
      <c r="A9" s="484"/>
      <c r="B9" s="484"/>
      <c r="C9" s="484"/>
      <c r="D9" s="484"/>
      <c r="E9" s="484"/>
      <c r="F9" s="484"/>
      <c r="G9" s="484"/>
      <c r="H9" s="484"/>
      <c r="I9" s="484"/>
    </row>
    <row r="10" spans="1:9" x14ac:dyDescent="0.25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 x14ac:dyDescent="0.25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 x14ac:dyDescent="0.25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 x14ac:dyDescent="0.25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 x14ac:dyDescent="0.25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x14ac:dyDescent="0.3">
      <c r="A15" s="285"/>
    </row>
    <row r="16" spans="1:9" ht="19.5" customHeight="1" x14ac:dyDescent="0.3">
      <c r="A16" s="516" t="s">
        <v>31</v>
      </c>
      <c r="B16" s="517"/>
      <c r="C16" s="517"/>
      <c r="D16" s="517"/>
      <c r="E16" s="517"/>
      <c r="F16" s="517"/>
      <c r="G16" s="517"/>
      <c r="H16" s="518"/>
    </row>
    <row r="17" spans="1:14" ht="20.25" customHeight="1" x14ac:dyDescent="0.25">
      <c r="A17" s="519" t="s">
        <v>47</v>
      </c>
      <c r="B17" s="519"/>
      <c r="C17" s="519"/>
      <c r="D17" s="519"/>
      <c r="E17" s="519"/>
      <c r="F17" s="519"/>
      <c r="G17" s="519"/>
      <c r="H17" s="519"/>
    </row>
    <row r="18" spans="1:14" ht="26.25" customHeight="1" x14ac:dyDescent="0.4">
      <c r="A18" s="287" t="s">
        <v>33</v>
      </c>
      <c r="B18" s="515" t="s">
        <v>5</v>
      </c>
      <c r="C18" s="515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20" t="s">
        <v>133</v>
      </c>
      <c r="C20" s="520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20" t="s">
        <v>11</v>
      </c>
      <c r="C21" s="520"/>
      <c r="D21" s="520"/>
      <c r="E21" s="520"/>
      <c r="F21" s="520"/>
      <c r="G21" s="520"/>
      <c r="H21" s="520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15" t="s">
        <v>133</v>
      </c>
      <c r="C26" s="515"/>
    </row>
    <row r="27" spans="1:14" ht="26.25" customHeight="1" x14ac:dyDescent="0.4">
      <c r="A27" s="296" t="s">
        <v>48</v>
      </c>
      <c r="B27" s="521" t="s">
        <v>136</v>
      </c>
      <c r="C27" s="521"/>
    </row>
    <row r="28" spans="1:14" ht="27" customHeight="1" x14ac:dyDescent="0.4">
      <c r="A28" s="296" t="s">
        <v>6</v>
      </c>
      <c r="B28" s="297">
        <v>99.02</v>
      </c>
    </row>
    <row r="29" spans="1:14" s="14" customFormat="1" ht="27" customHeight="1" x14ac:dyDescent="0.4">
      <c r="A29" s="296" t="s">
        <v>49</v>
      </c>
      <c r="B29" s="298"/>
      <c r="C29" s="491" t="s">
        <v>50</v>
      </c>
      <c r="D29" s="492"/>
      <c r="E29" s="492"/>
      <c r="F29" s="492"/>
      <c r="G29" s="493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99.02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4" t="s">
        <v>53</v>
      </c>
      <c r="D31" s="495"/>
      <c r="E31" s="495"/>
      <c r="F31" s="495"/>
      <c r="G31" s="495"/>
      <c r="H31" s="496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4" t="s">
        <v>55</v>
      </c>
      <c r="D32" s="495"/>
      <c r="E32" s="495"/>
      <c r="F32" s="495"/>
      <c r="G32" s="495"/>
      <c r="H32" s="496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100</v>
      </c>
      <c r="C36" s="286"/>
      <c r="D36" s="497" t="s">
        <v>59</v>
      </c>
      <c r="E36" s="522"/>
      <c r="F36" s="497" t="s">
        <v>60</v>
      </c>
      <c r="G36" s="498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</v>
      </c>
      <c r="C38" s="318">
        <v>1</v>
      </c>
      <c r="D38" s="319">
        <v>37449415</v>
      </c>
      <c r="E38" s="320">
        <f>IF(ISBLANK(D38),"-",$D$48/$D$45*D38)</f>
        <v>34897394.69872804</v>
      </c>
      <c r="F38" s="319">
        <v>35694033</v>
      </c>
      <c r="G38" s="321">
        <f>IF(ISBLANK(F38),"-",$D$48/$F$45*F38)</f>
        <v>35232543.927434489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37811649</v>
      </c>
      <c r="E39" s="325">
        <f>IF(ISBLANK(D39),"-",$D$48/$D$45*D39)</f>
        <v>35234943.973430969</v>
      </c>
      <c r="F39" s="324">
        <v>35996732</v>
      </c>
      <c r="G39" s="326">
        <f>IF(ISBLANK(F39),"-",$D$48/$F$45*F39)</f>
        <v>35531329.324262314</v>
      </c>
      <c r="I39" s="499">
        <f>ABS((F43/D43*D42)-F42)/D42</f>
        <v>8.161633214341376E-3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37680624</v>
      </c>
      <c r="E40" s="325">
        <f>IF(ISBLANK(D40),"-",$D$48/$D$45*D40)</f>
        <v>35112847.776724003</v>
      </c>
      <c r="F40" s="324">
        <v>35854751</v>
      </c>
      <c r="G40" s="326">
        <f>IF(ISBLANK(F40),"-",$D$48/$F$45*F40)</f>
        <v>35391184.000270456</v>
      </c>
      <c r="I40" s="499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37647229.333333336</v>
      </c>
      <c r="E42" s="335">
        <f>AVERAGE(E38:E41)</f>
        <v>35081728.816294342</v>
      </c>
      <c r="F42" s="334">
        <f>AVERAGE(F38:F41)</f>
        <v>35848505.333333336</v>
      </c>
      <c r="G42" s="336">
        <f>AVERAGE(G38:G41)</f>
        <v>35385019.083989084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17.34</v>
      </c>
      <c r="E43" s="327"/>
      <c r="F43" s="339">
        <v>16.37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17.34</v>
      </c>
      <c r="E44" s="342"/>
      <c r="F44" s="341">
        <f>F43*$B$34</f>
        <v>16.37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17.170068000000001</v>
      </c>
      <c r="E45" s="345"/>
      <c r="F45" s="344">
        <f>F44*$B$30/100</f>
        <v>16.209574</v>
      </c>
      <c r="H45" s="337"/>
    </row>
    <row r="46" spans="1:14" ht="19.5" customHeight="1" x14ac:dyDescent="0.3">
      <c r="A46" s="485" t="s">
        <v>78</v>
      </c>
      <c r="B46" s="486"/>
      <c r="C46" s="340" t="s">
        <v>79</v>
      </c>
      <c r="D46" s="346">
        <f>D45/$B$45</f>
        <v>0.17170067999999999</v>
      </c>
      <c r="E46" s="347"/>
      <c r="F46" s="348">
        <f>F45/$B$45</f>
        <v>0.16209573999999999</v>
      </c>
      <c r="H46" s="337"/>
    </row>
    <row r="47" spans="1:14" ht="27" customHeight="1" x14ac:dyDescent="0.4">
      <c r="A47" s="487"/>
      <c r="B47" s="488"/>
      <c r="C47" s="349" t="s">
        <v>80</v>
      </c>
      <c r="D47" s="350">
        <v>0.16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16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16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35233373.950141713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6.2323700696267949E-3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contains: Sulfamethoxazole BP 800 mg and Trimethoprim BP 160 mg.</v>
      </c>
    </row>
    <row r="56" spans="1:12" ht="26.25" customHeight="1" x14ac:dyDescent="0.4">
      <c r="A56" s="364" t="s">
        <v>87</v>
      </c>
      <c r="B56" s="365">
        <v>800</v>
      </c>
      <c r="C56" s="286" t="str">
        <f>B20</f>
        <v>sulfamethoxazole</v>
      </c>
      <c r="H56" s="366"/>
    </row>
    <row r="57" spans="1:12" ht="18.75" x14ac:dyDescent="0.3">
      <c r="A57" s="363" t="s">
        <v>88</v>
      </c>
      <c r="B57" s="434">
        <f>Uniformity!C46</f>
        <v>1059.6410000000001</v>
      </c>
      <c r="H57" s="366"/>
    </row>
    <row r="58" spans="1:12" ht="19.5" customHeight="1" x14ac:dyDescent="0.3">
      <c r="H58" s="366"/>
    </row>
    <row r="59" spans="1:12" s="14" customFormat="1" ht="27" customHeight="1" thickBot="1" x14ac:dyDescent="0.45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2" t="s">
        <v>94</v>
      </c>
      <c r="D60" s="505">
        <v>1054.24</v>
      </c>
      <c r="E60" s="369">
        <v>1</v>
      </c>
      <c r="F60" s="370">
        <v>35606366</v>
      </c>
      <c r="G60" s="435">
        <f>IF(ISBLANK(F60),"-",(F60/$D$50*$D$47*$B$68)*($B$57/$D$60))</f>
        <v>812.61094785875093</v>
      </c>
      <c r="H60" s="453">
        <f t="shared" ref="H60:H71" si="0">IF(ISBLANK(F60),"-",(G60/$B$56)*100)</f>
        <v>101.57636848234387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3"/>
      <c r="D61" s="506"/>
      <c r="E61" s="371">
        <v>2</v>
      </c>
      <c r="F61" s="324">
        <v>35572532</v>
      </c>
      <c r="G61" s="436">
        <f>IF(ISBLANK(F61),"-",(F61/$D$50*$D$47*$B$68)*($B$57/$D$60))</f>
        <v>811.83878597034447</v>
      </c>
      <c r="H61" s="454">
        <f t="shared" si="0"/>
        <v>101.47984824629306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3"/>
      <c r="D62" s="506"/>
      <c r="E62" s="371">
        <v>3</v>
      </c>
      <c r="F62" s="372">
        <v>35389516</v>
      </c>
      <c r="G62" s="436">
        <f>IF(ISBLANK(F62),"-",(F62/$D$50*$D$47*$B$68)*($B$57/$D$60))</f>
        <v>807.66198215853956</v>
      </c>
      <c r="H62" s="454">
        <f t="shared" si="0"/>
        <v>100.95774776981744</v>
      </c>
      <c r="L62" s="299"/>
    </row>
    <row r="63" spans="1:12" ht="27" customHeight="1" thickBot="1" x14ac:dyDescent="0.45">
      <c r="A63" s="311" t="s">
        <v>97</v>
      </c>
      <c r="B63" s="312">
        <v>1</v>
      </c>
      <c r="C63" s="512"/>
      <c r="D63" s="507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2" t="s">
        <v>99</v>
      </c>
      <c r="D64" s="505">
        <v>1044.72</v>
      </c>
      <c r="E64" s="369">
        <v>1</v>
      </c>
      <c r="F64" s="370">
        <v>35097260</v>
      </c>
      <c r="G64" s="435">
        <f>IF(ISBLANK(F64),"-",(F64/$D$50*$D$47*$B$68)*($B$57/$D$64))</f>
        <v>808.29112754683467</v>
      </c>
      <c r="H64" s="453">
        <f t="shared" si="0"/>
        <v>101.03639094335432</v>
      </c>
    </row>
    <row r="65" spans="1:8" ht="26.25" customHeight="1" x14ac:dyDescent="0.4">
      <c r="A65" s="311" t="s">
        <v>100</v>
      </c>
      <c r="B65" s="312">
        <v>1</v>
      </c>
      <c r="C65" s="503"/>
      <c r="D65" s="506"/>
      <c r="E65" s="371">
        <v>2</v>
      </c>
      <c r="F65" s="324">
        <v>35211627</v>
      </c>
      <c r="G65" s="436">
        <f>IF(ISBLANK(F65),"-",(F65/$D$50*$D$47*$B$68)*($B$57/$D$64))</f>
        <v>810.92500356405503</v>
      </c>
      <c r="H65" s="454">
        <f t="shared" si="0"/>
        <v>101.36562544550686</v>
      </c>
    </row>
    <row r="66" spans="1:8" ht="26.25" customHeight="1" x14ac:dyDescent="0.4">
      <c r="A66" s="311" t="s">
        <v>101</v>
      </c>
      <c r="B66" s="312">
        <v>1</v>
      </c>
      <c r="C66" s="503"/>
      <c r="D66" s="506"/>
      <c r="E66" s="371">
        <v>3</v>
      </c>
      <c r="F66" s="324">
        <v>35438611</v>
      </c>
      <c r="G66" s="436">
        <f>IF(ISBLANK(F66),"-",(F66/$D$50*$D$47*$B$68)*($B$57/$D$64))</f>
        <v>816.15245303717882</v>
      </c>
      <c r="H66" s="454">
        <f t="shared" si="0"/>
        <v>102.01905662964734</v>
      </c>
    </row>
    <row r="67" spans="1:8" ht="27" customHeight="1" thickBot="1" x14ac:dyDescent="0.45">
      <c r="A67" s="311" t="s">
        <v>102</v>
      </c>
      <c r="B67" s="312">
        <v>1</v>
      </c>
      <c r="C67" s="512"/>
      <c r="D67" s="507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2" t="s">
        <v>104</v>
      </c>
      <c r="D68" s="505">
        <v>1063.22</v>
      </c>
      <c r="E68" s="369">
        <v>1</v>
      </c>
      <c r="F68" s="370"/>
      <c r="G68" s="435" t="str">
        <f>IF(ISBLANK(F68),"-",(F68/$D$50*$D$47*$B$68)*($B$57/$D$68))</f>
        <v>-</v>
      </c>
      <c r="H68" s="454" t="str">
        <f t="shared" si="0"/>
        <v>-</v>
      </c>
    </row>
    <row r="69" spans="1:8" ht="27" customHeight="1" thickBot="1" x14ac:dyDescent="0.45">
      <c r="A69" s="359" t="s">
        <v>105</v>
      </c>
      <c r="B69" s="376">
        <f>(D47*B68)/B56*B57</f>
        <v>1059.6410000000001</v>
      </c>
      <c r="C69" s="503"/>
      <c r="D69" s="506"/>
      <c r="E69" s="371">
        <v>2</v>
      </c>
      <c r="F69" s="324"/>
      <c r="G69" s="436" t="str">
        <f>IF(ISBLANK(F69),"-",(F69/$D$50*$D$47*$B$68)*($B$57/$D$68))</f>
        <v>-</v>
      </c>
      <c r="H69" s="454" t="str">
        <f t="shared" si="0"/>
        <v>-</v>
      </c>
    </row>
    <row r="70" spans="1:8" ht="26.25" customHeight="1" x14ac:dyDescent="0.4">
      <c r="A70" s="508" t="s">
        <v>78</v>
      </c>
      <c r="B70" s="509"/>
      <c r="C70" s="503"/>
      <c r="D70" s="506"/>
      <c r="E70" s="371">
        <v>3</v>
      </c>
      <c r="F70" s="324"/>
      <c r="G70" s="436" t="str">
        <f>IF(ISBLANK(F70),"-",(F70/$D$50*$D$47*$B$68)*($B$57/$D$68))</f>
        <v>-</v>
      </c>
      <c r="H70" s="454" t="str">
        <f t="shared" si="0"/>
        <v>-</v>
      </c>
    </row>
    <row r="71" spans="1:8" ht="27" customHeight="1" thickBot="1" x14ac:dyDescent="0.45">
      <c r="A71" s="510"/>
      <c r="B71" s="511"/>
      <c r="C71" s="504"/>
      <c r="D71" s="507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811.24671668928386</v>
      </c>
      <c r="H72" s="456">
        <f>AVERAGE(H60:H71)</f>
        <v>101.40583958616048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3.8179870947457916E-3</v>
      </c>
      <c r="H73" s="440">
        <f>STDEV(H60:H71)/H72</f>
        <v>3.8179870947457769E-3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489" t="str">
        <f>B26</f>
        <v>sulfamethoxazole</v>
      </c>
      <c r="D76" s="489"/>
      <c r="E76" s="385" t="s">
        <v>108</v>
      </c>
      <c r="F76" s="385"/>
      <c r="G76" s="472">
        <f>H72</f>
        <v>101.40583958616048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23" t="str">
        <f>B26</f>
        <v>sulfamethoxazole</v>
      </c>
      <c r="C79" s="523"/>
    </row>
    <row r="80" spans="1:8" ht="26.25" customHeight="1" x14ac:dyDescent="0.4">
      <c r="A80" s="296" t="s">
        <v>48</v>
      </c>
      <c r="B80" s="523" t="str">
        <f>B27</f>
        <v>S12-6</v>
      </c>
      <c r="C80" s="523"/>
    </row>
    <row r="81" spans="1:12" ht="27" customHeight="1" x14ac:dyDescent="0.4">
      <c r="A81" s="296" t="s">
        <v>6</v>
      </c>
      <c r="B81" s="388">
        <f>B28</f>
        <v>99.02</v>
      </c>
    </row>
    <row r="82" spans="1:12" s="14" customFormat="1" ht="27" customHeight="1" x14ac:dyDescent="0.4">
      <c r="A82" s="296" t="s">
        <v>49</v>
      </c>
      <c r="B82" s="298">
        <v>0</v>
      </c>
      <c r="C82" s="491" t="s">
        <v>50</v>
      </c>
      <c r="D82" s="492"/>
      <c r="E82" s="492"/>
      <c r="F82" s="492"/>
      <c r="G82" s="493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99.02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4" t="s">
        <v>111</v>
      </c>
      <c r="D84" s="495"/>
      <c r="E84" s="495"/>
      <c r="F84" s="495"/>
      <c r="G84" s="495"/>
      <c r="H84" s="496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4" t="s">
        <v>112</v>
      </c>
      <c r="D85" s="495"/>
      <c r="E85" s="495"/>
      <c r="F85" s="495"/>
      <c r="G85" s="495"/>
      <c r="H85" s="496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100</v>
      </c>
      <c r="D89" s="389" t="s">
        <v>59</v>
      </c>
      <c r="E89" s="390"/>
      <c r="F89" s="497" t="s">
        <v>60</v>
      </c>
      <c r="G89" s="498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>
        <v>37449415</v>
      </c>
      <c r="E91" s="320">
        <f>IF(ISBLANK(D91),"-",$D$101/$D$98*D91)</f>
        <v>38774882.998586722</v>
      </c>
      <c r="F91" s="319">
        <v>35694033</v>
      </c>
      <c r="G91" s="321">
        <f>IF(ISBLANK(F91),"-",$D$101/$F$98*F91)</f>
        <v>39147271.030482769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37811649</v>
      </c>
      <c r="E92" s="325">
        <f>IF(ISBLANK(D92),"-",$D$101/$D$98*D92)</f>
        <v>39149937.748256639</v>
      </c>
      <c r="F92" s="324">
        <v>35996732</v>
      </c>
      <c r="G92" s="326">
        <f>IF(ISBLANK(F92),"-",$D$101/$F$98*F92)</f>
        <v>39479254.804735906</v>
      </c>
      <c r="I92" s="499">
        <f>ABS((F96/D96*D95)-F95)/D95</f>
        <v>8.161633214341376E-3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37680624</v>
      </c>
      <c r="E93" s="325">
        <f>IF(ISBLANK(D93),"-",$D$101/$D$98*D93)</f>
        <v>39014275.307471119</v>
      </c>
      <c r="F93" s="324">
        <v>35854751</v>
      </c>
      <c r="G93" s="326">
        <f>IF(ISBLANK(F93),"-",$D$101/$F$98*F93)</f>
        <v>39323537.778078288</v>
      </c>
      <c r="I93" s="499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37647229.333333336</v>
      </c>
      <c r="E95" s="335">
        <f>AVERAGE(E91:E94)</f>
        <v>38979698.684771501</v>
      </c>
      <c r="F95" s="398">
        <f>AVERAGE(F91:F94)</f>
        <v>35848505.333333336</v>
      </c>
      <c r="G95" s="399">
        <f>AVERAGE(G91:G94)</f>
        <v>39316687.871098988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17.34</v>
      </c>
      <c r="E96" s="327"/>
      <c r="F96" s="339">
        <v>16.37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17.34</v>
      </c>
      <c r="E97" s="342"/>
      <c r="F97" s="341">
        <f>F96*$B$87</f>
        <v>16.37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17.170068000000001</v>
      </c>
      <c r="E98" s="345"/>
      <c r="F98" s="344">
        <f>F97*$B$83/100</f>
        <v>16.209574</v>
      </c>
    </row>
    <row r="99" spans="1:10" ht="19.5" customHeight="1" x14ac:dyDescent="0.3">
      <c r="A99" s="485" t="s">
        <v>78</v>
      </c>
      <c r="B99" s="500"/>
      <c r="C99" s="402" t="s">
        <v>116</v>
      </c>
      <c r="D99" s="406">
        <f>D98/$B$98</f>
        <v>0.17170067999999999</v>
      </c>
      <c r="E99" s="345"/>
      <c r="F99" s="348">
        <f>F98/$B$98</f>
        <v>0.16209573999999999</v>
      </c>
      <c r="G99" s="407"/>
      <c r="H99" s="337"/>
    </row>
    <row r="100" spans="1:10" ht="19.5" customHeight="1" x14ac:dyDescent="0.3">
      <c r="A100" s="487"/>
      <c r="B100" s="501"/>
      <c r="C100" s="402" t="s">
        <v>80</v>
      </c>
      <c r="D100" s="408">
        <f>$B$56/$B$116</f>
        <v>0.17777777777777778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17.777777777777779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17.777777777777779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39148193.277935244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6.2323700696267281E-3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4</v>
      </c>
      <c r="C108" s="462">
        <v>1</v>
      </c>
      <c r="D108" s="463">
        <v>31625292</v>
      </c>
      <c r="E108" s="437">
        <f t="shared" ref="E108:E113" si="1">IF(ISBLANK(D108),"-",D108/$D$103*$D$100*$B$116)</f>
        <v>646.26823057654997</v>
      </c>
      <c r="F108" s="464">
        <f t="shared" ref="F108:F113" si="2">IF(ISBLANK(D108), "-", (E108/$B$56)*100)</f>
        <v>80.783528822068746</v>
      </c>
    </row>
    <row r="109" spans="1:10" ht="26.25" customHeight="1" x14ac:dyDescent="0.4">
      <c r="A109" s="311" t="s">
        <v>95</v>
      </c>
      <c r="B109" s="312">
        <v>20</v>
      </c>
      <c r="C109" s="458">
        <v>2</v>
      </c>
      <c r="D109" s="460">
        <v>38602868</v>
      </c>
      <c r="E109" s="438">
        <f t="shared" si="1"/>
        <v>788.85618502874604</v>
      </c>
      <c r="F109" s="465">
        <f t="shared" si="2"/>
        <v>98.607023128593255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39251277</v>
      </c>
      <c r="E110" s="438">
        <f t="shared" si="1"/>
        <v>802.10653342457772</v>
      </c>
      <c r="F110" s="465">
        <f t="shared" si="2"/>
        <v>100.26331667807223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31614332</v>
      </c>
      <c r="E111" s="438">
        <f t="shared" si="1"/>
        <v>646.04426110910231</v>
      </c>
      <c r="F111" s="465">
        <f t="shared" si="2"/>
        <v>80.755532638637789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31122522</v>
      </c>
      <c r="E112" s="438">
        <f t="shared" si="1"/>
        <v>635.9940399607932</v>
      </c>
      <c r="F112" s="465">
        <f t="shared" si="2"/>
        <v>79.49925499509915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38472197</v>
      </c>
      <c r="E113" s="439">
        <f t="shared" si="1"/>
        <v>786.18590087903249</v>
      </c>
      <c r="F113" s="466">
        <f t="shared" si="2"/>
        <v>98.273237609879061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717.57585849646694</v>
      </c>
      <c r="F115" s="468">
        <f>AVERAGE(F108:F113)</f>
        <v>89.696982312058367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0.11456353450889326</v>
      </c>
      <c r="F116" s="422">
        <f>STDEV(F108:F113)/F115</f>
        <v>0.11456353450889481</v>
      </c>
      <c r="I116" s="285"/>
    </row>
    <row r="117" spans="1:10" ht="27" customHeight="1" x14ac:dyDescent="0.4">
      <c r="A117" s="485" t="s">
        <v>78</v>
      </c>
      <c r="B117" s="486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7"/>
      <c r="B118" s="488"/>
      <c r="C118" s="285"/>
      <c r="D118" s="447"/>
      <c r="E118" s="513" t="s">
        <v>123</v>
      </c>
      <c r="F118" s="514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635.9940399607932</v>
      </c>
      <c r="F119" s="469">
        <f>MIN(F108:F113)</f>
        <v>79.49925499509915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802.10653342457772</v>
      </c>
      <c r="F120" s="470">
        <f>MAX(F108:F113)</f>
        <v>100.26331667807223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489" t="str">
        <f>B26</f>
        <v>sulfamethoxazole</v>
      </c>
      <c r="D124" s="489"/>
      <c r="E124" s="385" t="s">
        <v>127</v>
      </c>
      <c r="F124" s="385"/>
      <c r="G124" s="471">
        <f>F115</f>
        <v>89.696982312058367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79.49925499509915</v>
      </c>
      <c r="E125" s="396" t="s">
        <v>130</v>
      </c>
      <c r="F125" s="471">
        <f>MAX(F108:F113)</f>
        <v>100.26331667807223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90" t="s">
        <v>26</v>
      </c>
      <c r="C127" s="490"/>
      <c r="E127" s="391" t="s">
        <v>27</v>
      </c>
      <c r="F127" s="426"/>
      <c r="G127" s="490" t="s">
        <v>28</v>
      </c>
      <c r="H127" s="490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 SST</vt:lpstr>
      <vt:lpstr>TRI SST</vt:lpstr>
      <vt:lpstr>Uniformity</vt:lpstr>
      <vt:lpstr>trimethoprim</vt:lpstr>
      <vt:lpstr>sulfamethoxazole</vt:lpstr>
      <vt:lpstr>'SUL SST'!Print_Area</vt:lpstr>
      <vt:lpstr>sulfamethoxazole!Print_Area</vt:lpstr>
      <vt:lpstr>'TRI SST'!Print_Area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2018-04-30T11:39:15Z</cp:lastPrinted>
  <dcterms:created xsi:type="dcterms:W3CDTF">2005-07-05T10:19:27Z</dcterms:created>
  <dcterms:modified xsi:type="dcterms:W3CDTF">2018-05-02T16:35:05Z</dcterms:modified>
</cp:coreProperties>
</file>