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May\"/>
    </mc:Choice>
  </mc:AlternateContent>
  <bookViews>
    <workbookView xWindow="0" yWindow="0" windowWidth="20490" windowHeight="7650" activeTab="2"/>
  </bookViews>
  <sheets>
    <sheet name="SST SULFA" sheetId="1" r:id="rId1"/>
    <sheet name="Uniformity" sheetId="2" r:id="rId2"/>
    <sheet name="trimethoprim" sheetId="3" r:id="rId3"/>
    <sheet name="sulfamethoxazole" sheetId="4" r:id="rId4"/>
    <sheet name="SST TRIM" sheetId="5" r:id="rId5"/>
  </sheets>
  <definedNames>
    <definedName name="_xlnm.Print_Area" localSheetId="3">sulfamethoxazole!$A$1:$I$131</definedName>
    <definedName name="_xlnm.Print_Area" localSheetId="2">trimethoprim!$A$1:$I$130</definedName>
    <definedName name="_xlnm.Print_Area" localSheetId="1">Uniformity!$A$11:$F$55</definedName>
  </definedNames>
  <calcPr calcId="162913"/>
</workbook>
</file>

<file path=xl/calcChain.xml><?xml version="1.0" encoding="utf-8"?>
<calcChain xmlns="http://schemas.openxmlformats.org/spreadsheetml/2006/main">
  <c r="B21" i="5" l="1"/>
  <c r="B21" i="1"/>
  <c r="B53" i="5"/>
  <c r="E51" i="5"/>
  <c r="D51" i="5"/>
  <c r="C51" i="5"/>
  <c r="B51" i="5"/>
  <c r="B52" i="5" s="1"/>
  <c r="B32" i="5"/>
  <c r="E30" i="5"/>
  <c r="D30" i="5"/>
  <c r="C30" i="5"/>
  <c r="B30" i="5"/>
  <c r="B31" i="5" s="1"/>
  <c r="C124" i="4"/>
  <c r="B116" i="4"/>
  <c r="D100" i="4" s="1"/>
  <c r="B98" i="4"/>
  <c r="F95" i="4"/>
  <c r="D95" i="4"/>
  <c r="B87" i="4"/>
  <c r="F97" i="4" s="1"/>
  <c r="B83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D101" i="3" s="1"/>
  <c r="B98" i="3"/>
  <c r="F95" i="3"/>
  <c r="D95" i="3"/>
  <c r="I92" i="3" s="1"/>
  <c r="B87" i="3"/>
  <c r="F97" i="3" s="1"/>
  <c r="B83" i="3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4" l="1"/>
  <c r="D39" i="2"/>
  <c r="D24" i="2"/>
  <c r="D40" i="2"/>
  <c r="D27" i="2"/>
  <c r="D35" i="2"/>
  <c r="D43" i="2"/>
  <c r="D49" i="2"/>
  <c r="D32" i="2"/>
  <c r="C49" i="2"/>
  <c r="D28" i="2"/>
  <c r="D36" i="2"/>
  <c r="F44" i="3"/>
  <c r="F45" i="3" s="1"/>
  <c r="F46" i="3" s="1"/>
  <c r="D31" i="2"/>
  <c r="D102" i="3"/>
  <c r="D45" i="3"/>
  <c r="D46" i="3" s="1"/>
  <c r="F98" i="3"/>
  <c r="F99" i="3" s="1"/>
  <c r="F45" i="4"/>
  <c r="G38" i="4" s="1"/>
  <c r="F98" i="4"/>
  <c r="F99" i="4" s="1"/>
  <c r="D44" i="4"/>
  <c r="D45" i="4" s="1"/>
  <c r="D101" i="4"/>
  <c r="D102" i="4" s="1"/>
  <c r="I39" i="3"/>
  <c r="I92" i="4"/>
  <c r="D49" i="3"/>
  <c r="G41" i="3"/>
  <c r="E41" i="3"/>
  <c r="G91" i="3"/>
  <c r="G92" i="3"/>
  <c r="F46" i="4"/>
  <c r="G40" i="4"/>
  <c r="G41" i="4"/>
  <c r="B69" i="4"/>
  <c r="G94" i="4"/>
  <c r="E94" i="4"/>
  <c r="D97" i="4"/>
  <c r="D98" i="4" s="1"/>
  <c r="D99" i="4" s="1"/>
  <c r="B57" i="3"/>
  <c r="B69" i="3" s="1"/>
  <c r="G94" i="3"/>
  <c r="D49" i="4"/>
  <c r="D25" i="2"/>
  <c r="D29" i="2"/>
  <c r="D33" i="2"/>
  <c r="D37" i="2"/>
  <c r="D41" i="2"/>
  <c r="D97" i="3"/>
  <c r="D98" i="3" s="1"/>
  <c r="C50" i="2"/>
  <c r="D26" i="2"/>
  <c r="D30" i="2"/>
  <c r="D34" i="2"/>
  <c r="D38" i="2"/>
  <c r="D42" i="2"/>
  <c r="B49" i="2"/>
  <c r="D50" i="2"/>
  <c r="G93" i="3"/>
  <c r="E41" i="4" l="1"/>
  <c r="D46" i="4"/>
  <c r="E38" i="4"/>
  <c r="G40" i="3"/>
  <c r="G38" i="3"/>
  <c r="G39" i="3"/>
  <c r="E40" i="3"/>
  <c r="E39" i="3"/>
  <c r="E38" i="3"/>
  <c r="G39" i="4"/>
  <c r="E93" i="4"/>
  <c r="E92" i="4"/>
  <c r="G93" i="4"/>
  <c r="G91" i="4"/>
  <c r="G92" i="4"/>
  <c r="G42" i="4"/>
  <c r="E39" i="4"/>
  <c r="E40" i="4"/>
  <c r="G95" i="3"/>
  <c r="D99" i="3"/>
  <c r="E93" i="3"/>
  <c r="E94" i="3"/>
  <c r="E91" i="3"/>
  <c r="E92" i="3"/>
  <c r="E91" i="4"/>
  <c r="G95" i="4" l="1"/>
  <c r="D50" i="4"/>
  <c r="D51" i="4" s="1"/>
  <c r="E42" i="4"/>
  <c r="G42" i="3"/>
  <c r="D52" i="3"/>
  <c r="E42" i="3"/>
  <c r="D50" i="3"/>
  <c r="G64" i="3" s="1"/>
  <c r="H64" i="3" s="1"/>
  <c r="D52" i="4"/>
  <c r="D103" i="4"/>
  <c r="E95" i="4"/>
  <c r="D105" i="4"/>
  <c r="G67" i="4"/>
  <c r="H67" i="4" s="1"/>
  <c r="G65" i="4"/>
  <c r="H65" i="4" s="1"/>
  <c r="G63" i="4"/>
  <c r="H63" i="4" s="1"/>
  <c r="G68" i="4"/>
  <c r="H68" i="4" s="1"/>
  <c r="G71" i="4"/>
  <c r="H71" i="4" s="1"/>
  <c r="G64" i="4"/>
  <c r="H64" i="4" s="1"/>
  <c r="G62" i="4"/>
  <c r="H62" i="4" s="1"/>
  <c r="E95" i="3"/>
  <c r="D105" i="3"/>
  <c r="D103" i="3"/>
  <c r="G71" i="3"/>
  <c r="H71" i="3" s="1"/>
  <c r="G67" i="3"/>
  <c r="H67" i="3" s="1"/>
  <c r="G63" i="3"/>
  <c r="H63" i="3" s="1"/>
  <c r="G66" i="4" l="1"/>
  <c r="H66" i="4" s="1"/>
  <c r="G61" i="4"/>
  <c r="H61" i="4" s="1"/>
  <c r="G70" i="4"/>
  <c r="H70" i="4" s="1"/>
  <c r="G60" i="4"/>
  <c r="H60" i="4" s="1"/>
  <c r="G69" i="4"/>
  <c r="H69" i="4" s="1"/>
  <c r="G66" i="3"/>
  <c r="H66" i="3" s="1"/>
  <c r="G69" i="3"/>
  <c r="H69" i="3" s="1"/>
  <c r="G70" i="3"/>
  <c r="H70" i="3" s="1"/>
  <c r="G61" i="3"/>
  <c r="H61" i="3" s="1"/>
  <c r="D51" i="3"/>
  <c r="G68" i="3"/>
  <c r="H68" i="3" s="1"/>
  <c r="G65" i="3"/>
  <c r="H65" i="3" s="1"/>
  <c r="G60" i="3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H60" i="3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G72" i="4" l="1"/>
  <c r="G73" i="4" s="1"/>
  <c r="G74" i="4"/>
  <c r="G72" i="3"/>
  <c r="G73" i="3" s="1"/>
  <c r="G74" i="3"/>
  <c r="H74" i="3"/>
  <c r="H72" i="3"/>
  <c r="H74" i="4"/>
  <c r="H72" i="4"/>
  <c r="E115" i="3"/>
  <c r="E116" i="3" s="1"/>
  <c r="E119" i="3"/>
  <c r="E120" i="3"/>
  <c r="E117" i="3"/>
  <c r="F108" i="3"/>
  <c r="E120" i="4"/>
  <c r="E117" i="4"/>
  <c r="F108" i="4"/>
  <c r="E115" i="4"/>
  <c r="E116" i="4" s="1"/>
  <c r="E119" i="4"/>
  <c r="G76" i="3" l="1"/>
  <c r="H73" i="3"/>
  <c r="F119" i="3"/>
  <c r="F125" i="3"/>
  <c r="F120" i="3"/>
  <c r="F117" i="3"/>
  <c r="D125" i="3"/>
  <c r="F115" i="3"/>
  <c r="F125" i="4"/>
  <c r="F120" i="4"/>
  <c r="F117" i="4"/>
  <c r="D125" i="4"/>
  <c r="F115" i="4"/>
  <c r="F119" i="4"/>
  <c r="G76" i="4"/>
  <c r="H73" i="4"/>
  <c r="G124" i="4" l="1"/>
  <c r="F116" i="4"/>
  <c r="G124" i="3"/>
  <c r="F116" i="3"/>
</calcChain>
</file>

<file path=xl/sharedStrings.xml><?xml version="1.0" encoding="utf-8"?>
<sst xmlns="http://schemas.openxmlformats.org/spreadsheetml/2006/main" count="454" uniqueCount="140">
  <si>
    <t>HPLC System Suitability Report</t>
  </si>
  <si>
    <t>Analysis Data</t>
  </si>
  <si>
    <t>Assay</t>
  </si>
  <si>
    <t>Sample(s)</t>
  </si>
  <si>
    <t>Reference Substance:</t>
  </si>
  <si>
    <t>SULFRAN - DS TABLETS</t>
  </si>
  <si>
    <t>% age Purity:</t>
  </si>
  <si>
    <t>NDQB201804375</t>
  </si>
  <si>
    <t>Weight (mg):</t>
  </si>
  <si>
    <t>Sulfamethoxazole BP &amp; Trimethoprim BP</t>
  </si>
  <si>
    <t>Standard Conc (mg/mL):</t>
  </si>
  <si>
    <t xml:space="preserve">Each tablet contains: Sulphamethoxazole BP 800 mg and Trimethoprim BP 160 mg.
</t>
  </si>
  <si>
    <t>2018-04-06 13:27:43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</si>
  <si>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</si>
  <si>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</si>
  <si>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</si>
  <si>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</si>
  <si>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</si>
  <si>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</si>
  <si>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</si>
  <si>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</si>
  <si>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</si>
  <si>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</si>
  <si>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</si>
  <si>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</si>
  <si>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</si>
  <si>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</si>
  <si>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</si>
  <si>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</si>
  <si>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</si>
  <si>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</si>
  <si>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</si>
  <si>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</si>
  <si>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</si>
  <si>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</si>
  <si>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</si>
  <si>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</si>
  <si>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</si>
  <si>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</si>
  <si>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</si>
  <si>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</si>
  <si>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</si>
  <si>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</si>
  <si>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</si>
  <si>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</si>
  <si>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</si>
  <si>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</si>
  <si>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</si>
  <si>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</si>
  <si>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</si>
  <si>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</si>
  <si>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</si>
  <si>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</si>
  <si>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</si>
  <si>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</si>
  <si>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</si>
  <si>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</si>
  <si>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</si>
  <si>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</si>
  <si>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</si>
  <si>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</si>
  <si>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</si>
  <si>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</si>
  <si>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</si>
  <si>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</si>
  <si>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</si>
  <si>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</si>
  <si>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</si>
  <si>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</si>
  <si>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</si>
  <si>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</si>
  <si>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</si>
  <si>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</si>
  <si>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</si>
  <si>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</si>
  <si>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</si>
  <si>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</si>
  <si>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</si>
  <si>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</si>
  <si>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</si>
  <si>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</si>
  <si>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</si>
  <si>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</si>
  <si>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</si>
  <si>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</si>
  <si>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</si>
  <si>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</si>
  <si>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</si>
  <si>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</si>
  <si>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</si>
  <si>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</si>
  <si>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</si>
  <si>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</si>
  <si>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</si>
  <si>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</si>
  <si>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</si>
  <si>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</si>
  <si>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</si>
  <si>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</si>
  <si>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</si>
  <si>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</si>
  <si>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</si>
  <si>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</si>
  <si>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</si>
  <si>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</si>
  <si>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</si>
  <si>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</si>
  <si>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</si>
  <si>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</si>
  <si>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</si>
  <si>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</si>
  <si>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</si>
  <si>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</si>
  <si>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</si>
  <si>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</si>
  <si>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</si>
  <si>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</si>
  <si>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</si>
  <si>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</si>
  <si>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</si>
  <si>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</si>
  <si>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</si>
  <si>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</si>
  <si>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</si>
  <si>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</si>
  <si>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</si>
  <si>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</si>
  <si>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</si>
  <si>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</si>
  <si>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</si>
  <si>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</si>
  <si>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SULFAMETHOXAZOLE</t>
  </si>
  <si>
    <t>S12-6</t>
  </si>
  <si>
    <t xml:space="preserve">Sulfamethoxazole BP </t>
  </si>
  <si>
    <t>Each tablet contains: Sulfamethoxazole BP 800 mg and Trimethoprim BP 160 mg.</t>
  </si>
  <si>
    <t xml:space="preserve"> Trimethoprim BP</t>
  </si>
  <si>
    <t>TRIMETHOPRIM</t>
  </si>
  <si>
    <t>T7-5</t>
  </si>
  <si>
    <t>2018-04-06 13:22:07</t>
  </si>
  <si>
    <t>19Aril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</si>
</sst>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D38" sqref="D3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3" t="s">
        <v>0</v>
      </c>
      <c r="B15" s="473"/>
      <c r="C15" s="473"/>
      <c r="D15" s="473"/>
      <c r="E15" s="47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131</v>
      </c>
      <c r="C18" s="72"/>
      <c r="D18" s="10"/>
      <c r="E18" s="10"/>
    </row>
    <row r="19" spans="1:6" ht="16.5" customHeight="1" x14ac:dyDescent="0.3">
      <c r="A19" s="11" t="s">
        <v>6</v>
      </c>
      <c r="B19" s="12">
        <v>99.02</v>
      </c>
      <c r="C19" s="72"/>
      <c r="D19" s="10"/>
      <c r="E19" s="10"/>
    </row>
    <row r="20" spans="1:6" ht="16.5" customHeight="1" x14ac:dyDescent="0.3">
      <c r="A20" s="7" t="s">
        <v>8</v>
      </c>
      <c r="B20" s="12">
        <v>17.34</v>
      </c>
      <c r="C20" s="72"/>
      <c r="D20" s="10"/>
      <c r="E20" s="10"/>
    </row>
    <row r="21" spans="1:6" ht="16.5" customHeight="1" x14ac:dyDescent="0.3">
      <c r="A21" s="7" t="s">
        <v>10</v>
      </c>
      <c r="B21" s="13">
        <f>17.34/100</f>
        <v>0.1734</v>
      </c>
      <c r="C21" s="72"/>
      <c r="D21" s="10"/>
      <c r="E21" s="10"/>
    </row>
    <row r="22" spans="1:6" ht="15.75" customHeight="1" x14ac:dyDescent="0.25">
      <c r="A22" s="10"/>
      <c r="B22" s="72" t="s">
        <v>138</v>
      </c>
      <c r="C22" s="72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37818089</v>
      </c>
      <c r="C24" s="18">
        <v>13721.3</v>
      </c>
      <c r="D24" s="19">
        <v>1</v>
      </c>
      <c r="E24" s="20">
        <v>9.9</v>
      </c>
    </row>
    <row r="25" spans="1:6" ht="16.5" customHeight="1" x14ac:dyDescent="0.3">
      <c r="A25" s="17">
        <v>2</v>
      </c>
      <c r="B25" s="18">
        <v>37501429</v>
      </c>
      <c r="C25" s="18">
        <v>13684.9</v>
      </c>
      <c r="D25" s="19">
        <v>1</v>
      </c>
      <c r="E25" s="19">
        <v>9.9</v>
      </c>
    </row>
    <row r="26" spans="1:6" ht="16.5" customHeight="1" x14ac:dyDescent="0.3">
      <c r="A26" s="17">
        <v>3</v>
      </c>
      <c r="B26" s="18">
        <v>37436529</v>
      </c>
      <c r="C26" s="18">
        <v>13739.6</v>
      </c>
      <c r="D26" s="19">
        <v>1</v>
      </c>
      <c r="E26" s="19">
        <v>9.9</v>
      </c>
    </row>
    <row r="27" spans="1:6" ht="16.5" customHeight="1" x14ac:dyDescent="0.3">
      <c r="A27" s="17">
        <v>4</v>
      </c>
      <c r="B27" s="18">
        <v>37600940</v>
      </c>
      <c r="C27" s="18">
        <v>13734.1</v>
      </c>
      <c r="D27" s="19">
        <v>1</v>
      </c>
      <c r="E27" s="19">
        <v>9.9</v>
      </c>
    </row>
    <row r="28" spans="1:6" ht="16.5" customHeight="1" x14ac:dyDescent="0.3">
      <c r="A28" s="17">
        <v>5</v>
      </c>
      <c r="B28" s="18">
        <v>37308068</v>
      </c>
      <c r="C28" s="18">
        <v>13745.5</v>
      </c>
      <c r="D28" s="19">
        <v>1</v>
      </c>
      <c r="E28" s="19">
        <v>9.9</v>
      </c>
    </row>
    <row r="29" spans="1:6" ht="16.5" customHeight="1" x14ac:dyDescent="0.3">
      <c r="A29" s="17">
        <v>6</v>
      </c>
      <c r="B29" s="21">
        <v>37713134</v>
      </c>
      <c r="C29" s="21">
        <v>13745.2</v>
      </c>
      <c r="D29" s="22">
        <v>1</v>
      </c>
      <c r="E29" s="22">
        <v>9.9</v>
      </c>
    </row>
    <row r="30" spans="1:6" ht="16.5" customHeight="1" x14ac:dyDescent="0.3">
      <c r="A30" s="23" t="s">
        <v>18</v>
      </c>
      <c r="B30" s="24">
        <f>AVERAGE(B24:B29)</f>
        <v>37563031.5</v>
      </c>
      <c r="C30" s="25">
        <f>AVERAGE(C24:C29)</f>
        <v>13728.433333333332</v>
      </c>
      <c r="D30" s="26">
        <f>AVERAGE(D24:D29)</f>
        <v>1</v>
      </c>
      <c r="E30" s="26">
        <f>AVERAGE(E24:E29)</f>
        <v>9.9</v>
      </c>
    </row>
    <row r="31" spans="1:6" ht="16.5" customHeight="1" x14ac:dyDescent="0.3">
      <c r="A31" s="27" t="s">
        <v>19</v>
      </c>
      <c r="B31" s="28">
        <f>(STDEV(B24:B29)/B30)</f>
        <v>4.9637749319500863E-3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4" t="s">
        <v>26</v>
      </c>
      <c r="C59" s="47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1" workbookViewId="0">
      <selection activeCell="G1" sqref="G1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8" t="s">
        <v>31</v>
      </c>
      <c r="B11" s="479"/>
      <c r="C11" s="479"/>
      <c r="D11" s="479"/>
      <c r="E11" s="479"/>
      <c r="F11" s="480"/>
      <c r="G11" s="91"/>
    </row>
    <row r="12" spans="1:7" ht="16.5" customHeight="1" x14ac:dyDescent="0.3">
      <c r="A12" s="477" t="s">
        <v>32</v>
      </c>
      <c r="B12" s="477"/>
      <c r="C12" s="477"/>
      <c r="D12" s="477"/>
      <c r="E12" s="477"/>
      <c r="F12" s="477"/>
      <c r="G12" s="90"/>
    </row>
    <row r="14" spans="1:7" ht="16.5" customHeight="1" x14ac:dyDescent="0.3">
      <c r="A14" s="482" t="s">
        <v>33</v>
      </c>
      <c r="B14" s="482"/>
      <c r="C14" s="60" t="s">
        <v>5</v>
      </c>
    </row>
    <row r="15" spans="1:7" ht="16.5" customHeight="1" x14ac:dyDescent="0.3">
      <c r="A15" s="482" t="s">
        <v>34</v>
      </c>
      <c r="B15" s="482"/>
      <c r="C15" s="60" t="s">
        <v>7</v>
      </c>
    </row>
    <row r="16" spans="1:7" ht="16.5" customHeight="1" x14ac:dyDescent="0.3">
      <c r="A16" s="482" t="s">
        <v>35</v>
      </c>
      <c r="B16" s="482"/>
      <c r="C16" s="60" t="s">
        <v>9</v>
      </c>
    </row>
    <row r="17" spans="1:5" ht="16.5" customHeight="1" x14ac:dyDescent="0.3">
      <c r="A17" s="482" t="s">
        <v>36</v>
      </c>
      <c r="B17" s="482"/>
      <c r="C17" s="60" t="s">
        <v>11</v>
      </c>
    </row>
    <row r="18" spans="1:5" ht="16.5" customHeight="1" x14ac:dyDescent="0.3">
      <c r="A18" s="482" t="s">
        <v>37</v>
      </c>
      <c r="B18" s="482"/>
      <c r="C18" s="97" t="s">
        <v>12</v>
      </c>
    </row>
    <row r="19" spans="1:5" ht="16.5" customHeight="1" x14ac:dyDescent="0.3">
      <c r="A19" s="482" t="s">
        <v>38</v>
      </c>
      <c r="B19" s="48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7" t="s">
        <v>1</v>
      </c>
      <c r="B21" s="477"/>
      <c r="C21" s="59" t="s">
        <v>39</v>
      </c>
      <c r="D21" s="66"/>
    </row>
    <row r="22" spans="1:5" ht="15.75" customHeight="1" x14ac:dyDescent="0.3">
      <c r="A22" s="481"/>
      <c r="B22" s="481"/>
      <c r="C22" s="57"/>
      <c r="D22" s="481"/>
      <c r="E22" s="481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1045.8399999999999</v>
      </c>
      <c r="D24" s="87">
        <f t="shared" ref="D24:D43" si="0">(C24-$C$46)/$C$46</f>
        <v>4.0740344269588197E-3</v>
      </c>
      <c r="E24" s="53"/>
    </row>
    <row r="25" spans="1:5" ht="15.75" customHeight="1" x14ac:dyDescent="0.3">
      <c r="C25" s="95">
        <v>1056.28</v>
      </c>
      <c r="D25" s="88">
        <f t="shared" si="0"/>
        <v>1.4097109581301268E-2</v>
      </c>
      <c r="E25" s="53"/>
    </row>
    <row r="26" spans="1:5" ht="15.75" customHeight="1" x14ac:dyDescent="0.3">
      <c r="C26" s="95">
        <v>1034.9100000000001</v>
      </c>
      <c r="D26" s="88">
        <f t="shared" si="0"/>
        <v>-6.4194724156619414E-3</v>
      </c>
      <c r="E26" s="53"/>
    </row>
    <row r="27" spans="1:5" ht="15.75" customHeight="1" x14ac:dyDescent="0.3">
      <c r="C27" s="95">
        <v>1047.71</v>
      </c>
      <c r="D27" s="88">
        <f t="shared" si="0"/>
        <v>5.8693553597769675E-3</v>
      </c>
      <c r="E27" s="53"/>
    </row>
    <row r="28" spans="1:5" ht="15.75" customHeight="1" x14ac:dyDescent="0.3">
      <c r="C28" s="95">
        <v>1044.47</v>
      </c>
      <c r="D28" s="88">
        <f t="shared" si="0"/>
        <v>2.7587458291189739E-3</v>
      </c>
      <c r="E28" s="53"/>
    </row>
    <row r="29" spans="1:5" ht="15.75" customHeight="1" x14ac:dyDescent="0.3">
      <c r="C29" s="95">
        <v>1034.94</v>
      </c>
      <c r="D29" s="88">
        <f t="shared" si="0"/>
        <v>-6.3906704755632825E-3</v>
      </c>
      <c r="E29" s="53"/>
    </row>
    <row r="30" spans="1:5" ht="15.75" customHeight="1" x14ac:dyDescent="0.3">
      <c r="C30" s="95">
        <v>1031.75</v>
      </c>
      <c r="D30" s="88">
        <f t="shared" si="0"/>
        <v>-9.4532767727235102E-3</v>
      </c>
      <c r="E30" s="53"/>
    </row>
    <row r="31" spans="1:5" ht="15.75" customHeight="1" x14ac:dyDescent="0.3">
      <c r="C31" s="95">
        <v>1029.1099999999999</v>
      </c>
      <c r="D31" s="88">
        <f t="shared" si="0"/>
        <v>-1.198784750140789E-2</v>
      </c>
      <c r="E31" s="53"/>
    </row>
    <row r="32" spans="1:5" ht="15.75" customHeight="1" x14ac:dyDescent="0.3">
      <c r="C32" s="95">
        <v>1037.18</v>
      </c>
      <c r="D32" s="88">
        <f t="shared" si="0"/>
        <v>-4.2401256148614569E-3</v>
      </c>
      <c r="E32" s="53"/>
    </row>
    <row r="33" spans="1:7" ht="15.75" customHeight="1" x14ac:dyDescent="0.3">
      <c r="C33" s="95">
        <v>1042.6500000000001</v>
      </c>
      <c r="D33" s="88">
        <f t="shared" si="0"/>
        <v>1.0114281297988093E-3</v>
      </c>
      <c r="E33" s="53"/>
    </row>
    <row r="34" spans="1:7" ht="15.75" customHeight="1" x14ac:dyDescent="0.3">
      <c r="C34" s="95">
        <v>1038.75</v>
      </c>
      <c r="D34" s="88">
        <f t="shared" si="0"/>
        <v>-2.7328240830303339E-3</v>
      </c>
      <c r="E34" s="53"/>
    </row>
    <row r="35" spans="1:7" ht="15.75" customHeight="1" x14ac:dyDescent="0.3">
      <c r="C35" s="95">
        <v>1044.92</v>
      </c>
      <c r="D35" s="88">
        <f t="shared" si="0"/>
        <v>3.1907749305992933E-3</v>
      </c>
      <c r="E35" s="53"/>
    </row>
    <row r="36" spans="1:7" ht="15.75" customHeight="1" x14ac:dyDescent="0.3">
      <c r="C36" s="95">
        <v>1033.8</v>
      </c>
      <c r="D36" s="88">
        <f t="shared" si="0"/>
        <v>-7.4851441993134095E-3</v>
      </c>
      <c r="E36" s="53"/>
    </row>
    <row r="37" spans="1:7" ht="15.75" customHeight="1" x14ac:dyDescent="0.3">
      <c r="C37" s="95">
        <v>1046.4100000000001</v>
      </c>
      <c r="D37" s="88">
        <f t="shared" si="0"/>
        <v>4.6212712888339929E-3</v>
      </c>
      <c r="E37" s="53"/>
    </row>
    <row r="38" spans="1:7" ht="15.75" customHeight="1" x14ac:dyDescent="0.3">
      <c r="C38" s="95">
        <v>1036.3399999999999</v>
      </c>
      <c r="D38" s="88">
        <f t="shared" si="0"/>
        <v>-5.046579937624778E-3</v>
      </c>
      <c r="E38" s="53"/>
    </row>
    <row r="39" spans="1:7" ht="15.75" customHeight="1" x14ac:dyDescent="0.3">
      <c r="C39" s="95">
        <v>1042.08</v>
      </c>
      <c r="D39" s="88">
        <f t="shared" si="0"/>
        <v>4.6419126792363616E-4</v>
      </c>
      <c r="E39" s="53"/>
    </row>
    <row r="40" spans="1:7" ht="15.75" customHeight="1" x14ac:dyDescent="0.3">
      <c r="C40" s="95">
        <v>1042.67</v>
      </c>
      <c r="D40" s="88">
        <f t="shared" si="0"/>
        <v>1.030629423197915E-3</v>
      </c>
      <c r="E40" s="53"/>
    </row>
    <row r="41" spans="1:7" ht="15.75" customHeight="1" x14ac:dyDescent="0.3">
      <c r="C41" s="95">
        <v>1034.47</v>
      </c>
      <c r="D41" s="88">
        <f t="shared" si="0"/>
        <v>-6.8419008704427072E-3</v>
      </c>
      <c r="E41" s="53"/>
    </row>
    <row r="42" spans="1:7" ht="15.75" customHeight="1" x14ac:dyDescent="0.3">
      <c r="C42" s="95">
        <v>1054.4000000000001</v>
      </c>
      <c r="D42" s="88">
        <f t="shared" si="0"/>
        <v>1.2292188001783786E-2</v>
      </c>
      <c r="E42" s="53"/>
    </row>
    <row r="43" spans="1:7" ht="16.5" customHeight="1" x14ac:dyDescent="0.3">
      <c r="C43" s="96">
        <v>1053.25</v>
      </c>
      <c r="D43" s="89">
        <f t="shared" si="0"/>
        <v>1.1188113631334104E-2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20831.93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1041.5965000000001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5">
        <f>C46</f>
        <v>1041.5965000000001</v>
      </c>
      <c r="C49" s="93">
        <f>-IF(C46&lt;=80,10%,IF(C46&lt;250,7.5%,5%))</f>
        <v>-0.05</v>
      </c>
      <c r="D49" s="81">
        <f>IF(C46&lt;=80,C46*0.9,IF(C46&lt;250,C46*0.925,C46*0.95))</f>
        <v>989.51667500000008</v>
      </c>
    </row>
    <row r="50" spans="1:6" ht="17.25" customHeight="1" x14ac:dyDescent="0.3">
      <c r="B50" s="476"/>
      <c r="C50" s="94">
        <f>IF(C46&lt;=80, 10%, IF(C46&lt;250, 7.5%, 5%))</f>
        <v>0.05</v>
      </c>
      <c r="D50" s="81">
        <f>IF(C46&lt;=80, C46*1.1, IF(C46&lt;250, C46*1.075, C46*1.05))</f>
        <v>1093.6763250000001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3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57" zoomScale="50" zoomScaleNormal="40" zoomScalePageLayoutView="50" workbookViewId="0">
      <selection activeCell="B57" sqref="B5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3" t="s">
        <v>45</v>
      </c>
      <c r="B1" s="513"/>
      <c r="C1" s="513"/>
      <c r="D1" s="513"/>
      <c r="E1" s="513"/>
      <c r="F1" s="513"/>
      <c r="G1" s="513"/>
      <c r="H1" s="513"/>
      <c r="I1" s="513"/>
    </row>
    <row r="2" spans="1:9" ht="18.75" customHeight="1" x14ac:dyDescent="0.25">
      <c r="A2" s="513"/>
      <c r="B2" s="513"/>
      <c r="C2" s="513"/>
      <c r="D2" s="513"/>
      <c r="E2" s="513"/>
      <c r="F2" s="513"/>
      <c r="G2" s="513"/>
      <c r="H2" s="513"/>
      <c r="I2" s="513"/>
    </row>
    <row r="3" spans="1:9" ht="18.75" customHeight="1" x14ac:dyDescent="0.25">
      <c r="A3" s="513"/>
      <c r="B3" s="513"/>
      <c r="C3" s="513"/>
      <c r="D3" s="513"/>
      <c r="E3" s="513"/>
      <c r="F3" s="513"/>
      <c r="G3" s="513"/>
      <c r="H3" s="513"/>
      <c r="I3" s="513"/>
    </row>
    <row r="4" spans="1:9" ht="18.75" customHeight="1" x14ac:dyDescent="0.25">
      <c r="A4" s="513"/>
      <c r="B4" s="513"/>
      <c r="C4" s="513"/>
      <c r="D4" s="513"/>
      <c r="E4" s="513"/>
      <c r="F4" s="513"/>
      <c r="G4" s="513"/>
      <c r="H4" s="513"/>
      <c r="I4" s="513"/>
    </row>
    <row r="5" spans="1:9" ht="18.75" customHeight="1" x14ac:dyDescent="0.25">
      <c r="A5" s="513"/>
      <c r="B5" s="513"/>
      <c r="C5" s="513"/>
      <c r="D5" s="513"/>
      <c r="E5" s="513"/>
      <c r="F5" s="513"/>
      <c r="G5" s="513"/>
      <c r="H5" s="513"/>
      <c r="I5" s="513"/>
    </row>
    <row r="6" spans="1:9" ht="18.75" customHeight="1" x14ac:dyDescent="0.25">
      <c r="A6" s="513"/>
      <c r="B6" s="513"/>
      <c r="C6" s="513"/>
      <c r="D6" s="513"/>
      <c r="E6" s="513"/>
      <c r="F6" s="513"/>
      <c r="G6" s="513"/>
      <c r="H6" s="513"/>
      <c r="I6" s="513"/>
    </row>
    <row r="7" spans="1:9" ht="18.75" customHeight="1" x14ac:dyDescent="0.25">
      <c r="A7" s="513"/>
      <c r="B7" s="513"/>
      <c r="C7" s="513"/>
      <c r="D7" s="513"/>
      <c r="E7" s="513"/>
      <c r="F7" s="513"/>
      <c r="G7" s="513"/>
      <c r="H7" s="513"/>
      <c r="I7" s="513"/>
    </row>
    <row r="8" spans="1:9" x14ac:dyDescent="0.25">
      <c r="A8" s="514" t="s">
        <v>46</v>
      </c>
      <c r="B8" s="514"/>
      <c r="C8" s="514"/>
      <c r="D8" s="514"/>
      <c r="E8" s="514"/>
      <c r="F8" s="514"/>
      <c r="G8" s="514"/>
      <c r="H8" s="514"/>
      <c r="I8" s="514"/>
    </row>
    <row r="9" spans="1:9" x14ac:dyDescent="0.25">
      <c r="A9" s="514"/>
      <c r="B9" s="514"/>
      <c r="C9" s="514"/>
      <c r="D9" s="514"/>
      <c r="E9" s="514"/>
      <c r="F9" s="514"/>
      <c r="G9" s="514"/>
      <c r="H9" s="514"/>
      <c r="I9" s="514"/>
    </row>
    <row r="10" spans="1:9" x14ac:dyDescent="0.25">
      <c r="A10" s="514"/>
      <c r="B10" s="514"/>
      <c r="C10" s="514"/>
      <c r="D10" s="514"/>
      <c r="E10" s="514"/>
      <c r="F10" s="514"/>
      <c r="G10" s="514"/>
      <c r="H10" s="514"/>
      <c r="I10" s="514"/>
    </row>
    <row r="11" spans="1:9" x14ac:dyDescent="0.25">
      <c r="A11" s="514"/>
      <c r="B11" s="514"/>
      <c r="C11" s="514"/>
      <c r="D11" s="514"/>
      <c r="E11" s="514"/>
      <c r="F11" s="514"/>
      <c r="G11" s="514"/>
      <c r="H11" s="514"/>
      <c r="I11" s="514"/>
    </row>
    <row r="12" spans="1:9" x14ac:dyDescent="0.25">
      <c r="A12" s="514"/>
      <c r="B12" s="514"/>
      <c r="C12" s="514"/>
      <c r="D12" s="514"/>
      <c r="E12" s="514"/>
      <c r="F12" s="514"/>
      <c r="G12" s="514"/>
      <c r="H12" s="514"/>
      <c r="I12" s="514"/>
    </row>
    <row r="13" spans="1:9" x14ac:dyDescent="0.25">
      <c r="A13" s="514"/>
      <c r="B13" s="514"/>
      <c r="C13" s="514"/>
      <c r="D13" s="514"/>
      <c r="E13" s="514"/>
      <c r="F13" s="514"/>
      <c r="G13" s="514"/>
      <c r="H13" s="514"/>
      <c r="I13" s="514"/>
    </row>
    <row r="14" spans="1:9" x14ac:dyDescent="0.25">
      <c r="A14" s="514"/>
      <c r="B14" s="514"/>
      <c r="C14" s="514"/>
      <c r="D14" s="514"/>
      <c r="E14" s="514"/>
      <c r="F14" s="514"/>
      <c r="G14" s="514"/>
      <c r="H14" s="514"/>
      <c r="I14" s="514"/>
    </row>
    <row r="15" spans="1:9" ht="19.5" customHeight="1" x14ac:dyDescent="0.3">
      <c r="A15" s="98"/>
    </row>
    <row r="16" spans="1:9" ht="19.5" customHeight="1" x14ac:dyDescent="0.3">
      <c r="A16" s="486" t="s">
        <v>31</v>
      </c>
      <c r="B16" s="487"/>
      <c r="C16" s="487"/>
      <c r="D16" s="487"/>
      <c r="E16" s="487"/>
      <c r="F16" s="487"/>
      <c r="G16" s="487"/>
      <c r="H16" s="488"/>
    </row>
    <row r="17" spans="1:14" ht="20.25" customHeight="1" x14ac:dyDescent="0.25">
      <c r="A17" s="489" t="s">
        <v>47</v>
      </c>
      <c r="B17" s="489"/>
      <c r="C17" s="489"/>
      <c r="D17" s="489"/>
      <c r="E17" s="489"/>
      <c r="F17" s="489"/>
      <c r="G17" s="489"/>
      <c r="H17" s="489"/>
    </row>
    <row r="18" spans="1:14" ht="26.25" customHeight="1" x14ac:dyDescent="0.4">
      <c r="A18" s="100" t="s">
        <v>33</v>
      </c>
      <c r="B18" s="485" t="s">
        <v>5</v>
      </c>
      <c r="C18" s="485"/>
      <c r="D18" s="245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4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90" t="s">
        <v>135</v>
      </c>
      <c r="C20" s="490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90" t="s">
        <v>134</v>
      </c>
      <c r="C21" s="490"/>
      <c r="D21" s="490"/>
      <c r="E21" s="490"/>
      <c r="F21" s="490"/>
      <c r="G21" s="490"/>
      <c r="H21" s="490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85" t="s">
        <v>136</v>
      </c>
      <c r="C26" s="485"/>
    </row>
    <row r="27" spans="1:14" ht="26.25" customHeight="1" x14ac:dyDescent="0.4">
      <c r="A27" s="109" t="s">
        <v>48</v>
      </c>
      <c r="B27" s="491" t="s">
        <v>137</v>
      </c>
      <c r="C27" s="491"/>
    </row>
    <row r="28" spans="1:14" ht="27" customHeight="1" x14ac:dyDescent="0.4">
      <c r="A28" s="109" t="s">
        <v>6</v>
      </c>
      <c r="B28" s="110">
        <v>99.7</v>
      </c>
    </row>
    <row r="29" spans="1:14" s="14" customFormat="1" ht="27" customHeight="1" x14ac:dyDescent="0.4">
      <c r="A29" s="109" t="s">
        <v>49</v>
      </c>
      <c r="B29" s="111"/>
      <c r="C29" s="492" t="s">
        <v>50</v>
      </c>
      <c r="D29" s="493"/>
      <c r="E29" s="493"/>
      <c r="F29" s="493"/>
      <c r="G29" s="494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95" t="s">
        <v>53</v>
      </c>
      <c r="D31" s="496"/>
      <c r="E31" s="496"/>
      <c r="F31" s="496"/>
      <c r="G31" s="496"/>
      <c r="H31" s="497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95" t="s">
        <v>55</v>
      </c>
      <c r="D32" s="496"/>
      <c r="E32" s="496"/>
      <c r="F32" s="496"/>
      <c r="G32" s="496"/>
      <c r="H32" s="497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498" t="s">
        <v>59</v>
      </c>
      <c r="E36" s="499"/>
      <c r="F36" s="498" t="s">
        <v>60</v>
      </c>
      <c r="G36" s="50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4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319">
        <v>2448128</v>
      </c>
      <c r="E38" s="132">
        <f>IF(ISBLANK(D38),"-",$D$48/$D$45*D38)</f>
        <v>2364462.6706310553</v>
      </c>
      <c r="F38" s="319">
        <v>2340642</v>
      </c>
      <c r="G38" s="133">
        <f>IF(ISBLANK(F38),"-",$D$48/$F$45*F38)</f>
        <v>2396819.862343539</v>
      </c>
      <c r="I38" s="134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5">
        <v>2</v>
      </c>
      <c r="D39" s="324">
        <v>2474545</v>
      </c>
      <c r="E39" s="137">
        <f>IF(ISBLANK(D39),"-",$D$48/$D$45*D39)</f>
        <v>2389976.8636675552</v>
      </c>
      <c r="F39" s="324">
        <v>2361823</v>
      </c>
      <c r="G39" s="138">
        <f>IF(ISBLANK(F39),"-",$D$48/$F$45*F39)</f>
        <v>2418509.2285534497</v>
      </c>
      <c r="I39" s="502">
        <f>ABS((F43/D43*D42)-F42)/D42</f>
        <v>1.2152674422336401E-2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5">
        <v>3</v>
      </c>
      <c r="D40" s="324">
        <v>2465364</v>
      </c>
      <c r="E40" s="137">
        <f>IF(ISBLANK(D40),"-",$D$48/$D$45*D40)</f>
        <v>2381109.6264238064</v>
      </c>
      <c r="F40" s="324">
        <v>2355622</v>
      </c>
      <c r="G40" s="138">
        <f>IF(ISBLANK(F40),"-",$D$48/$F$45*F40)</f>
        <v>2412159.3980512233</v>
      </c>
      <c r="I40" s="502"/>
      <c r="L40" s="117"/>
      <c r="M40" s="117"/>
      <c r="N40" s="139"/>
    </row>
    <row r="41" spans="1:14" ht="27" customHeight="1" x14ac:dyDescent="0.4">
      <c r="A41" s="124" t="s">
        <v>69</v>
      </c>
      <c r="B41" s="125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7"/>
      <c r="M41" s="117"/>
      <c r="N41" s="139"/>
    </row>
    <row r="42" spans="1:14" ht="27" customHeight="1" x14ac:dyDescent="0.4">
      <c r="A42" s="124" t="s">
        <v>70</v>
      </c>
      <c r="B42" s="125">
        <v>1</v>
      </c>
      <c r="C42" s="145" t="s">
        <v>71</v>
      </c>
      <c r="D42" s="146">
        <f>AVERAGE(D38:D41)</f>
        <v>2462679</v>
      </c>
      <c r="E42" s="147">
        <f>AVERAGE(E38:E41)</f>
        <v>2378516.3869074718</v>
      </c>
      <c r="F42" s="146">
        <f>AVERAGE(F38:F41)</f>
        <v>2352695.6666666665</v>
      </c>
      <c r="G42" s="148">
        <f>AVERAGE(G38:G41)</f>
        <v>2409162.8296494037</v>
      </c>
      <c r="H42" s="149"/>
    </row>
    <row r="43" spans="1:14" ht="26.25" customHeight="1" x14ac:dyDescent="0.4">
      <c r="A43" s="124" t="s">
        <v>72</v>
      </c>
      <c r="B43" s="125">
        <v>1</v>
      </c>
      <c r="C43" s="150" t="s">
        <v>73</v>
      </c>
      <c r="D43" s="151">
        <v>20.77</v>
      </c>
      <c r="E43" s="139"/>
      <c r="F43" s="151">
        <v>19.59</v>
      </c>
      <c r="H43" s="149"/>
    </row>
    <row r="44" spans="1:14" ht="26.25" customHeight="1" x14ac:dyDescent="0.4">
      <c r="A44" s="124" t="s">
        <v>74</v>
      </c>
      <c r="B44" s="125">
        <v>1</v>
      </c>
      <c r="C44" s="152" t="s">
        <v>75</v>
      </c>
      <c r="D44" s="153">
        <f>D43*$B$34</f>
        <v>20.77</v>
      </c>
      <c r="E44" s="154"/>
      <c r="F44" s="153">
        <f>F43*$B$34</f>
        <v>19.59</v>
      </c>
      <c r="H44" s="149"/>
    </row>
    <row r="45" spans="1:14" ht="19.5" customHeight="1" x14ac:dyDescent="0.3">
      <c r="A45" s="124" t="s">
        <v>76</v>
      </c>
      <c r="B45" s="155">
        <f>(B44/B43)*(B42/B41)*(B40/B39)*(B38/B37)*B36</f>
        <v>625</v>
      </c>
      <c r="C45" s="152" t="s">
        <v>77</v>
      </c>
      <c r="D45" s="156">
        <f>D44*$B$30/100</f>
        <v>20.707690000000003</v>
      </c>
      <c r="E45" s="157"/>
      <c r="F45" s="156">
        <f>F44*$B$30/100</f>
        <v>19.531230000000001</v>
      </c>
      <c r="H45" s="149"/>
    </row>
    <row r="46" spans="1:14" ht="19.5" customHeight="1" x14ac:dyDescent="0.3">
      <c r="A46" s="503" t="s">
        <v>78</v>
      </c>
      <c r="B46" s="504"/>
      <c r="C46" s="152" t="s">
        <v>79</v>
      </c>
      <c r="D46" s="158">
        <f>D45/$B$45</f>
        <v>3.3132304000000008E-2</v>
      </c>
      <c r="E46" s="159"/>
      <c r="F46" s="160">
        <f>F45/$B$45</f>
        <v>3.1249967999999999E-2</v>
      </c>
      <c r="H46" s="149"/>
    </row>
    <row r="47" spans="1:14" ht="27" customHeight="1" x14ac:dyDescent="0.4">
      <c r="A47" s="505"/>
      <c r="B47" s="506"/>
      <c r="C47" s="161" t="s">
        <v>80</v>
      </c>
      <c r="D47" s="162">
        <v>3.2000000000000001E-2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20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20</v>
      </c>
      <c r="F49" s="165"/>
      <c r="H49" s="149"/>
    </row>
    <row r="50" spans="1:12" ht="18.75" x14ac:dyDescent="0.3">
      <c r="C50" s="122" t="s">
        <v>83</v>
      </c>
      <c r="D50" s="168">
        <f>AVERAGE(E38:E41,G38:G41)</f>
        <v>2393839.608278438</v>
      </c>
      <c r="F50" s="169"/>
      <c r="H50" s="149"/>
    </row>
    <row r="51" spans="1:12" ht="18.75" x14ac:dyDescent="0.3">
      <c r="C51" s="124" t="s">
        <v>84</v>
      </c>
      <c r="D51" s="170">
        <f>STDEV(E38:E41,G38:G41)/D50</f>
        <v>8.3402798555656868E-3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9" t="s">
        <v>86</v>
      </c>
      <c r="B55" s="175" t="str">
        <f>B21</f>
        <v>Each tablet contains: Sulfamethoxazole BP 800 mg and Trimethoprim BP 160 mg.</v>
      </c>
    </row>
    <row r="56" spans="1:12" ht="26.25" customHeight="1" x14ac:dyDescent="0.4">
      <c r="A56" s="176" t="s">
        <v>87</v>
      </c>
      <c r="B56" s="177">
        <v>160</v>
      </c>
      <c r="C56" s="99" t="str">
        <f>B20</f>
        <v xml:space="preserve"> Trimethoprim BP</v>
      </c>
      <c r="H56" s="178"/>
    </row>
    <row r="57" spans="1:12" ht="18.75" x14ac:dyDescent="0.3">
      <c r="A57" s="175" t="s">
        <v>88</v>
      </c>
      <c r="B57" s="246">
        <f>Uniformity!C46</f>
        <v>1041.5965000000001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79" t="s">
        <v>90</v>
      </c>
      <c r="E59" s="180" t="s">
        <v>62</v>
      </c>
      <c r="F59" s="180" t="s">
        <v>63</v>
      </c>
      <c r="G59" s="180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507" t="s">
        <v>94</v>
      </c>
      <c r="D60" s="510">
        <v>1030.8699999999999</v>
      </c>
      <c r="E60" s="181">
        <v>1</v>
      </c>
      <c r="F60" s="182">
        <v>2357145</v>
      </c>
      <c r="G60" s="247">
        <f>IF(ISBLANK(F60),"-",(F60/$D$50*$D$47*$B$68)*($B$57/$D$60))</f>
        <v>159.18672352703371</v>
      </c>
      <c r="H60" s="265">
        <f t="shared" ref="H60:H71" si="0">IF(ISBLANK(F60),"-",(G60/$B$56)*100)</f>
        <v>99.491702204396077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508"/>
      <c r="D61" s="511"/>
      <c r="E61" s="183">
        <v>2</v>
      </c>
      <c r="F61" s="136">
        <v>2355685</v>
      </c>
      <c r="G61" s="248">
        <f>IF(ISBLANK(F61),"-",(F61/$D$50*$D$47*$B$68)*($B$57/$D$60))</f>
        <v>159.08812432488472</v>
      </c>
      <c r="H61" s="266">
        <f t="shared" si="0"/>
        <v>99.430077703052945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508"/>
      <c r="D62" s="511"/>
      <c r="E62" s="183">
        <v>3</v>
      </c>
      <c r="F62" s="184">
        <v>2362837</v>
      </c>
      <c r="G62" s="248">
        <f>IF(ISBLANK(F62),"-",(F62/$D$50*$D$47*$B$68)*($B$57/$D$60))</f>
        <v>159.57112534801453</v>
      </c>
      <c r="H62" s="266">
        <f t="shared" si="0"/>
        <v>99.731953342509087</v>
      </c>
      <c r="L62" s="112"/>
    </row>
    <row r="63" spans="1:12" ht="27" customHeight="1" x14ac:dyDescent="0.4">
      <c r="A63" s="124" t="s">
        <v>97</v>
      </c>
      <c r="B63" s="125">
        <v>1</v>
      </c>
      <c r="C63" s="509"/>
      <c r="D63" s="512"/>
      <c r="E63" s="185">
        <v>4</v>
      </c>
      <c r="F63" s="186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507" t="s">
        <v>99</v>
      </c>
      <c r="D64" s="510">
        <v>1041.8699999999999</v>
      </c>
      <c r="E64" s="181">
        <v>1</v>
      </c>
      <c r="F64" s="182">
        <v>2384542</v>
      </c>
      <c r="G64" s="247">
        <f>IF(ISBLANK(F64),"-",(F64/$D$50*$D$47*$B$68)*($B$57/$D$64))</f>
        <v>159.3367260594315</v>
      </c>
      <c r="H64" s="265">
        <f t="shared" si="0"/>
        <v>99.585453787144687</v>
      </c>
    </row>
    <row r="65" spans="1:8" ht="26.25" customHeight="1" x14ac:dyDescent="0.4">
      <c r="A65" s="124" t="s">
        <v>100</v>
      </c>
      <c r="B65" s="125">
        <v>1</v>
      </c>
      <c r="C65" s="508"/>
      <c r="D65" s="511"/>
      <c r="E65" s="183">
        <v>2</v>
      </c>
      <c r="F65" s="136">
        <v>2352807</v>
      </c>
      <c r="G65" s="248">
        <f>IF(ISBLANK(F65),"-",(F65/$D$50*$D$47*$B$68)*($B$57/$D$64))</f>
        <v>157.21617167142071</v>
      </c>
      <c r="H65" s="266">
        <f t="shared" si="0"/>
        <v>98.260107294637947</v>
      </c>
    </row>
    <row r="66" spans="1:8" ht="26.25" customHeight="1" x14ac:dyDescent="0.4">
      <c r="A66" s="124" t="s">
        <v>101</v>
      </c>
      <c r="B66" s="125">
        <v>1</v>
      </c>
      <c r="C66" s="508"/>
      <c r="D66" s="511"/>
      <c r="E66" s="183">
        <v>3</v>
      </c>
      <c r="F66" s="136">
        <v>2374721</v>
      </c>
      <c r="G66" s="248">
        <f>IF(ISBLANK(F66),"-",(F66/$D$50*$D$47*$B$68)*($B$57/$D$64))</f>
        <v>158.6804801276636</v>
      </c>
      <c r="H66" s="266">
        <f t="shared" si="0"/>
        <v>99.17530007978975</v>
      </c>
    </row>
    <row r="67" spans="1:8" ht="27" customHeight="1" x14ac:dyDescent="0.4">
      <c r="A67" s="124" t="s">
        <v>102</v>
      </c>
      <c r="B67" s="125">
        <v>1</v>
      </c>
      <c r="C67" s="509"/>
      <c r="D67" s="512"/>
      <c r="E67" s="185">
        <v>4</v>
      </c>
      <c r="F67" s="186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4">
      <c r="A68" s="124" t="s">
        <v>103</v>
      </c>
      <c r="B68" s="187">
        <f>(B67/B66)*(B65/B64)*(B63/B62)*(B61/B60)*B59</f>
        <v>5000</v>
      </c>
      <c r="C68" s="507" t="s">
        <v>104</v>
      </c>
      <c r="D68" s="510">
        <v>1050.52</v>
      </c>
      <c r="E68" s="181">
        <v>1</v>
      </c>
      <c r="F68" s="182">
        <v>2382845</v>
      </c>
      <c r="G68" s="247">
        <f>IF(ISBLANK(F68),"-",(F68/$D$50*$D$47*$B$68)*($B$57/$D$68))</f>
        <v>157.91228367257648</v>
      </c>
      <c r="H68" s="266">
        <f t="shared" si="0"/>
        <v>98.69517729536031</v>
      </c>
    </row>
    <row r="69" spans="1:8" ht="27" customHeight="1" x14ac:dyDescent="0.4">
      <c r="A69" s="171" t="s">
        <v>105</v>
      </c>
      <c r="B69" s="188">
        <f>(D47*B68)/B56*B57</f>
        <v>1041.5965000000001</v>
      </c>
      <c r="C69" s="508"/>
      <c r="D69" s="511"/>
      <c r="E69" s="183">
        <v>2</v>
      </c>
      <c r="F69" s="136">
        <v>2397515</v>
      </c>
      <c r="G69" s="248">
        <f>IF(ISBLANK(F69),"-",(F69/$D$50*$D$47*$B$68)*($B$57/$D$68))</f>
        <v>158.88447162499332</v>
      </c>
      <c r="H69" s="266">
        <f t="shared" si="0"/>
        <v>99.302794765620831</v>
      </c>
    </row>
    <row r="70" spans="1:8" ht="26.25" customHeight="1" x14ac:dyDescent="0.4">
      <c r="A70" s="520" t="s">
        <v>78</v>
      </c>
      <c r="B70" s="521"/>
      <c r="C70" s="508"/>
      <c r="D70" s="511"/>
      <c r="E70" s="183">
        <v>3</v>
      </c>
      <c r="F70" s="136">
        <v>2393795</v>
      </c>
      <c r="G70" s="248">
        <f>IF(ISBLANK(F70),"-",(F70/$D$50*$D$47*$B$68)*($B$57/$D$68))</f>
        <v>158.63794543665037</v>
      </c>
      <c r="H70" s="266">
        <f t="shared" si="0"/>
        <v>99.148715897906484</v>
      </c>
    </row>
    <row r="71" spans="1:8" ht="27" customHeight="1" x14ac:dyDescent="0.4">
      <c r="A71" s="522"/>
      <c r="B71" s="523"/>
      <c r="C71" s="519"/>
      <c r="D71" s="512"/>
      <c r="E71" s="185">
        <v>4</v>
      </c>
      <c r="F71" s="186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71</v>
      </c>
      <c r="G72" s="253">
        <f>AVERAGE(G60:G71)</f>
        <v>158.72378353251875</v>
      </c>
      <c r="H72" s="268">
        <f>AVERAGE(H60:H71)</f>
        <v>99.202364707824231</v>
      </c>
    </row>
    <row r="73" spans="1:8" ht="26.25" customHeight="1" x14ac:dyDescent="0.4">
      <c r="C73" s="189"/>
      <c r="D73" s="189"/>
      <c r="E73" s="189"/>
      <c r="F73" s="192" t="s">
        <v>84</v>
      </c>
      <c r="G73" s="252">
        <f>STDEV(G60:G71)/G72</f>
        <v>4.6762320060086517E-3</v>
      </c>
      <c r="H73" s="252">
        <f>STDEV(H60:H71)/H72</f>
        <v>4.6762320060086387E-3</v>
      </c>
    </row>
    <row r="74" spans="1:8" ht="27" customHeight="1" x14ac:dyDescent="0.4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 x14ac:dyDescent="0.4">
      <c r="A76" s="108" t="s">
        <v>106</v>
      </c>
      <c r="B76" s="196" t="s">
        <v>107</v>
      </c>
      <c r="C76" s="515" t="str">
        <f>B26</f>
        <v>TRIMETHOPRIM</v>
      </c>
      <c r="D76" s="515"/>
      <c r="E76" s="197" t="s">
        <v>108</v>
      </c>
      <c r="F76" s="197"/>
      <c r="G76" s="284">
        <f>H72</f>
        <v>99.202364707824231</v>
      </c>
      <c r="H76" s="199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501" t="str">
        <f>B26</f>
        <v>TRIMETHOPRIM</v>
      </c>
      <c r="C79" s="501"/>
    </row>
    <row r="80" spans="1:8" ht="26.25" customHeight="1" x14ac:dyDescent="0.4">
      <c r="A80" s="109" t="s">
        <v>48</v>
      </c>
      <c r="B80" s="501" t="str">
        <f>B27</f>
        <v>T7-5</v>
      </c>
      <c r="C80" s="501"/>
    </row>
    <row r="81" spans="1:12" ht="27" customHeight="1" x14ac:dyDescent="0.4">
      <c r="A81" s="109" t="s">
        <v>6</v>
      </c>
      <c r="B81" s="200">
        <v>99.7</v>
      </c>
    </row>
    <row r="82" spans="1:12" s="14" customFormat="1" ht="27" customHeight="1" x14ac:dyDescent="0.4">
      <c r="A82" s="109" t="s">
        <v>49</v>
      </c>
      <c r="B82" s="111">
        <v>0</v>
      </c>
      <c r="C82" s="492" t="s">
        <v>50</v>
      </c>
      <c r="D82" s="493"/>
      <c r="E82" s="493"/>
      <c r="F82" s="493"/>
      <c r="G82" s="494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95" t="s">
        <v>111</v>
      </c>
      <c r="D84" s="496"/>
      <c r="E84" s="496"/>
      <c r="F84" s="496"/>
      <c r="G84" s="496"/>
      <c r="H84" s="497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95" t="s">
        <v>112</v>
      </c>
      <c r="D85" s="496"/>
      <c r="E85" s="496"/>
      <c r="F85" s="496"/>
      <c r="G85" s="496"/>
      <c r="H85" s="497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1" t="s">
        <v>59</v>
      </c>
      <c r="E89" s="202"/>
      <c r="F89" s="498" t="s">
        <v>60</v>
      </c>
      <c r="G89" s="500"/>
    </row>
    <row r="90" spans="1:12" ht="27" customHeight="1" x14ac:dyDescent="0.4">
      <c r="A90" s="124" t="s">
        <v>61</v>
      </c>
      <c r="B90" s="125">
        <v>4</v>
      </c>
      <c r="C90" s="203" t="s">
        <v>62</v>
      </c>
      <c r="D90" s="127" t="s">
        <v>63</v>
      </c>
      <c r="E90" s="128" t="s">
        <v>64</v>
      </c>
      <c r="F90" s="127" t="s">
        <v>63</v>
      </c>
      <c r="G90" s="204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05">
        <v>1</v>
      </c>
      <c r="D91" s="319">
        <v>2448128</v>
      </c>
      <c r="E91" s="132">
        <f>IF(ISBLANK(D91),"-",$D$101/$D$98*D91)</f>
        <v>2627180.7451456166</v>
      </c>
      <c r="F91" s="319">
        <v>2340642</v>
      </c>
      <c r="G91" s="133">
        <f>IF(ISBLANK(F91),"-",$D$101/$F$98*F91)</f>
        <v>2663133.1803817097</v>
      </c>
      <c r="I91" s="134"/>
    </row>
    <row r="92" spans="1:12" ht="26.25" customHeight="1" x14ac:dyDescent="0.4">
      <c r="A92" s="124" t="s">
        <v>67</v>
      </c>
      <c r="B92" s="125">
        <v>1</v>
      </c>
      <c r="C92" s="190">
        <v>2</v>
      </c>
      <c r="D92" s="324">
        <v>2474545</v>
      </c>
      <c r="E92" s="137">
        <f>IF(ISBLANK(D92),"-",$D$101/$D$98*D92)</f>
        <v>2655529.8485195055</v>
      </c>
      <c r="F92" s="324">
        <v>2361823</v>
      </c>
      <c r="G92" s="138">
        <f>IF(ISBLANK(F92),"-",$D$101/$F$98*F92)</f>
        <v>2687232.4761704998</v>
      </c>
      <c r="I92" s="502">
        <f>ABS((F96/D96*D95)-F95)/D95</f>
        <v>1.2152674422336401E-2</v>
      </c>
    </row>
    <row r="93" spans="1:12" ht="26.25" customHeight="1" x14ac:dyDescent="0.4">
      <c r="A93" s="124" t="s">
        <v>68</v>
      </c>
      <c r="B93" s="125">
        <v>1</v>
      </c>
      <c r="C93" s="190">
        <v>3</v>
      </c>
      <c r="D93" s="324">
        <v>2465364</v>
      </c>
      <c r="E93" s="137">
        <f>IF(ISBLANK(D93),"-",$D$101/$D$98*D93)</f>
        <v>2645677.3626931184</v>
      </c>
      <c r="F93" s="324">
        <v>2355622</v>
      </c>
      <c r="G93" s="138">
        <f>IF(ISBLANK(F93),"-",$D$101/$F$98*F93)</f>
        <v>2680177.1089458037</v>
      </c>
      <c r="I93" s="502"/>
    </row>
    <row r="94" spans="1:12" ht="27" customHeight="1" x14ac:dyDescent="0.4">
      <c r="A94" s="124" t="s">
        <v>69</v>
      </c>
      <c r="B94" s="125">
        <v>1</v>
      </c>
      <c r="C94" s="206">
        <v>4</v>
      </c>
      <c r="D94" s="141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 x14ac:dyDescent="0.4">
      <c r="A95" s="124" t="s">
        <v>70</v>
      </c>
      <c r="B95" s="125">
        <v>1</v>
      </c>
      <c r="C95" s="208" t="s">
        <v>71</v>
      </c>
      <c r="D95" s="209">
        <f>AVERAGE(D91:D94)</f>
        <v>2462679</v>
      </c>
      <c r="E95" s="147">
        <f>AVERAGE(E91:E94)</f>
        <v>2642795.985452747</v>
      </c>
      <c r="F95" s="210">
        <f>AVERAGE(F91:F94)</f>
        <v>2352695.6666666665</v>
      </c>
      <c r="G95" s="211">
        <f>AVERAGE(G91:G94)</f>
        <v>2676847.5884993379</v>
      </c>
    </row>
    <row r="96" spans="1:12" ht="26.25" customHeight="1" x14ac:dyDescent="0.4">
      <c r="A96" s="124" t="s">
        <v>72</v>
      </c>
      <c r="B96" s="110">
        <v>1</v>
      </c>
      <c r="C96" s="212" t="s">
        <v>113</v>
      </c>
      <c r="D96" s="213">
        <v>20.77</v>
      </c>
      <c r="E96" s="139"/>
      <c r="F96" s="151">
        <v>19.59</v>
      </c>
    </row>
    <row r="97" spans="1:10" ht="26.25" customHeight="1" x14ac:dyDescent="0.4">
      <c r="A97" s="124" t="s">
        <v>74</v>
      </c>
      <c r="B97" s="110">
        <v>1</v>
      </c>
      <c r="C97" s="214" t="s">
        <v>114</v>
      </c>
      <c r="D97" s="215">
        <f>D96*$B$87</f>
        <v>20.77</v>
      </c>
      <c r="E97" s="154"/>
      <c r="F97" s="153">
        <f>F96*$B$87</f>
        <v>19.59</v>
      </c>
    </row>
    <row r="98" spans="1:10" ht="19.5" customHeight="1" x14ac:dyDescent="0.3">
      <c r="A98" s="124" t="s">
        <v>76</v>
      </c>
      <c r="B98" s="216">
        <f>(B97/B96)*(B95/B94)*(B93/B92)*(B91/B90)*B89</f>
        <v>625</v>
      </c>
      <c r="C98" s="214" t="s">
        <v>115</v>
      </c>
      <c r="D98" s="217">
        <f>D97*$B$83/100</f>
        <v>20.707690000000003</v>
      </c>
      <c r="E98" s="157"/>
      <c r="F98" s="156">
        <f>F97*$B$83/100</f>
        <v>19.531230000000001</v>
      </c>
    </row>
    <row r="99" spans="1:10" ht="19.5" customHeight="1" x14ac:dyDescent="0.3">
      <c r="A99" s="503" t="s">
        <v>78</v>
      </c>
      <c r="B99" s="517"/>
      <c r="C99" s="214" t="s">
        <v>116</v>
      </c>
      <c r="D99" s="218">
        <f>D98/$B$98</f>
        <v>3.3132304000000008E-2</v>
      </c>
      <c r="E99" s="157"/>
      <c r="F99" s="160">
        <f>F98/$B$98</f>
        <v>3.1249967999999999E-2</v>
      </c>
      <c r="G99" s="219"/>
      <c r="H99" s="149"/>
    </row>
    <row r="100" spans="1:10" ht="19.5" customHeight="1" x14ac:dyDescent="0.3">
      <c r="A100" s="505"/>
      <c r="B100" s="518"/>
      <c r="C100" s="214" t="s">
        <v>80</v>
      </c>
      <c r="D100" s="220">
        <f>$B$56/$B$116</f>
        <v>3.5555555555555556E-2</v>
      </c>
      <c r="F100" s="165"/>
      <c r="G100" s="221"/>
      <c r="H100" s="149"/>
    </row>
    <row r="101" spans="1:10" ht="18.75" x14ac:dyDescent="0.3">
      <c r="C101" s="214" t="s">
        <v>81</v>
      </c>
      <c r="D101" s="215">
        <f>D100*$B$98</f>
        <v>22.222222222222221</v>
      </c>
      <c r="F101" s="165"/>
      <c r="G101" s="219"/>
      <c r="H101" s="149"/>
    </row>
    <row r="102" spans="1:10" ht="19.5" customHeight="1" x14ac:dyDescent="0.3">
      <c r="C102" s="222" t="s">
        <v>82</v>
      </c>
      <c r="D102" s="223">
        <f>D101/B34</f>
        <v>22.222222222222221</v>
      </c>
      <c r="F102" s="169"/>
      <c r="G102" s="219"/>
      <c r="H102" s="149"/>
      <c r="J102" s="224"/>
    </row>
    <row r="103" spans="1:10" ht="18.75" x14ac:dyDescent="0.3">
      <c r="C103" s="225" t="s">
        <v>117</v>
      </c>
      <c r="D103" s="226">
        <f>AVERAGE(E91:E94,G91:G94)</f>
        <v>2659821.7869760422</v>
      </c>
      <c r="F103" s="169"/>
      <c r="G103" s="227"/>
      <c r="H103" s="149"/>
      <c r="J103" s="228"/>
    </row>
    <row r="104" spans="1:10" ht="18.75" x14ac:dyDescent="0.3">
      <c r="C104" s="192" t="s">
        <v>84</v>
      </c>
      <c r="D104" s="229">
        <f>STDEV(E91:E94,G91:G94)/D103</f>
        <v>8.3402798555657354E-3</v>
      </c>
      <c r="F104" s="169"/>
      <c r="G104" s="219"/>
      <c r="H104" s="149"/>
      <c r="J104" s="228"/>
    </row>
    <row r="105" spans="1:10" ht="19.5" customHeight="1" x14ac:dyDescent="0.3">
      <c r="C105" s="194" t="s">
        <v>20</v>
      </c>
      <c r="D105" s="230">
        <f>COUNT(E91:E94,G91:G94)</f>
        <v>6</v>
      </c>
      <c r="F105" s="169"/>
      <c r="G105" s="219"/>
      <c r="H105" s="149"/>
      <c r="J105" s="228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2" t="s">
        <v>118</v>
      </c>
      <c r="B107" s="123">
        <v>900</v>
      </c>
      <c r="C107" s="269" t="s">
        <v>119</v>
      </c>
      <c r="D107" s="269" t="s">
        <v>63</v>
      </c>
      <c r="E107" s="269" t="s">
        <v>120</v>
      </c>
      <c r="F107" s="231" t="s">
        <v>121</v>
      </c>
    </row>
    <row r="108" spans="1:10" ht="26.25" customHeight="1" x14ac:dyDescent="0.4">
      <c r="A108" s="124" t="s">
        <v>122</v>
      </c>
      <c r="B108" s="125">
        <v>4</v>
      </c>
      <c r="C108" s="274">
        <v>1</v>
      </c>
      <c r="D108" s="275">
        <v>2139281</v>
      </c>
      <c r="E108" s="249">
        <f t="shared" ref="E108:E113" si="1">IF(ISBLANK(D108),"-",D108/$D$103*$D$100*$B$116)</f>
        <v>128.68717809441833</v>
      </c>
      <c r="F108" s="276">
        <f t="shared" ref="F108:F113" si="2">IF(ISBLANK(D108), "-", (E108/$B$56)*100)</f>
        <v>80.429486309011452</v>
      </c>
    </row>
    <row r="109" spans="1:10" ht="26.25" customHeight="1" x14ac:dyDescent="0.4">
      <c r="A109" s="124" t="s">
        <v>95</v>
      </c>
      <c r="B109" s="125">
        <v>20</v>
      </c>
      <c r="C109" s="270">
        <v>2</v>
      </c>
      <c r="D109" s="272">
        <v>2747078</v>
      </c>
      <c r="E109" s="250">
        <f t="shared" si="1"/>
        <v>165.24884567537345</v>
      </c>
      <c r="F109" s="277">
        <f t="shared" si="2"/>
        <v>103.2805285471084</v>
      </c>
    </row>
    <row r="110" spans="1:10" ht="26.25" customHeight="1" x14ac:dyDescent="0.4">
      <c r="A110" s="124" t="s">
        <v>96</v>
      </c>
      <c r="B110" s="125">
        <v>1</v>
      </c>
      <c r="C110" s="270">
        <v>3</v>
      </c>
      <c r="D110" s="272">
        <v>2131220</v>
      </c>
      <c r="E110" s="250">
        <f t="shared" si="1"/>
        <v>128.20227342662616</v>
      </c>
      <c r="F110" s="277">
        <f t="shared" si="2"/>
        <v>80.126420891641345</v>
      </c>
    </row>
    <row r="111" spans="1:10" ht="26.25" customHeight="1" x14ac:dyDescent="0.4">
      <c r="A111" s="124" t="s">
        <v>97</v>
      </c>
      <c r="B111" s="125">
        <v>1</v>
      </c>
      <c r="C111" s="270">
        <v>4</v>
      </c>
      <c r="D111" s="272">
        <v>2696441</v>
      </c>
      <c r="E111" s="250">
        <f t="shared" si="1"/>
        <v>162.2028070123053</v>
      </c>
      <c r="F111" s="277">
        <f t="shared" si="2"/>
        <v>101.37675438269081</v>
      </c>
    </row>
    <row r="112" spans="1:10" ht="26.25" customHeight="1" x14ac:dyDescent="0.4">
      <c r="A112" s="124" t="s">
        <v>98</v>
      </c>
      <c r="B112" s="125">
        <v>1</v>
      </c>
      <c r="C112" s="270">
        <v>5</v>
      </c>
      <c r="D112" s="272">
        <v>2144377</v>
      </c>
      <c r="E112" s="250">
        <f t="shared" si="1"/>
        <v>128.99372494804308</v>
      </c>
      <c r="F112" s="277">
        <f t="shared" si="2"/>
        <v>80.621078092526915</v>
      </c>
    </row>
    <row r="113" spans="1:10" ht="27" customHeight="1" x14ac:dyDescent="0.4">
      <c r="A113" s="124" t="s">
        <v>100</v>
      </c>
      <c r="B113" s="125">
        <v>1</v>
      </c>
      <c r="C113" s="271">
        <v>6</v>
      </c>
      <c r="D113" s="273">
        <v>2728220</v>
      </c>
      <c r="E113" s="251">
        <f t="shared" si="1"/>
        <v>164.11445388462477</v>
      </c>
      <c r="F113" s="278">
        <f t="shared" si="2"/>
        <v>102.57153367789047</v>
      </c>
    </row>
    <row r="114" spans="1:10" ht="27" customHeight="1" x14ac:dyDescent="0.4">
      <c r="A114" s="124" t="s">
        <v>101</v>
      </c>
      <c r="B114" s="125">
        <v>1</v>
      </c>
      <c r="C114" s="232"/>
      <c r="D114" s="190"/>
      <c r="E114" s="98"/>
      <c r="F114" s="279"/>
    </row>
    <row r="115" spans="1:10" ht="26.25" customHeight="1" x14ac:dyDescent="0.4">
      <c r="A115" s="124" t="s">
        <v>102</v>
      </c>
      <c r="B115" s="125">
        <v>1</v>
      </c>
      <c r="C115" s="232"/>
      <c r="D115" s="256" t="s">
        <v>71</v>
      </c>
      <c r="E115" s="258">
        <f>AVERAGE(E108:E113)</f>
        <v>146.24154717356518</v>
      </c>
      <c r="F115" s="280">
        <f>AVERAGE(F108:F113)</f>
        <v>91.400966983478227</v>
      </c>
    </row>
    <row r="116" spans="1:10" ht="27" customHeight="1" x14ac:dyDescent="0.4">
      <c r="A116" s="124" t="s">
        <v>103</v>
      </c>
      <c r="B116" s="155">
        <f>(B115/B114)*(B113/B112)*(B111/B110)*(B109/B108)*B107</f>
        <v>4500</v>
      </c>
      <c r="C116" s="233"/>
      <c r="D116" s="257" t="s">
        <v>84</v>
      </c>
      <c r="E116" s="255">
        <f>STDEV(E108:E113)/E115</f>
        <v>0.13211822131732598</v>
      </c>
      <c r="F116" s="234">
        <f>STDEV(F108:F113)/F115</f>
        <v>0.13211822131732537</v>
      </c>
      <c r="I116" s="98"/>
    </row>
    <row r="117" spans="1:10" ht="27" customHeight="1" x14ac:dyDescent="0.4">
      <c r="A117" s="503" t="s">
        <v>78</v>
      </c>
      <c r="B117" s="504"/>
      <c r="C117" s="235"/>
      <c r="D117" s="194" t="s">
        <v>20</v>
      </c>
      <c r="E117" s="260">
        <f>COUNT(E108:E113)</f>
        <v>6</v>
      </c>
      <c r="F117" s="261">
        <f>COUNT(F108:F113)</f>
        <v>6</v>
      </c>
      <c r="I117" s="98"/>
      <c r="J117" s="228"/>
    </row>
    <row r="118" spans="1:10" ht="26.25" customHeight="1" x14ac:dyDescent="0.3">
      <c r="A118" s="505"/>
      <c r="B118" s="506"/>
      <c r="C118" s="98"/>
      <c r="D118" s="259"/>
      <c r="E118" s="483" t="s">
        <v>123</v>
      </c>
      <c r="F118" s="484"/>
      <c r="G118" s="98"/>
      <c r="H118" s="98"/>
      <c r="I118" s="98"/>
    </row>
    <row r="119" spans="1:10" ht="25.5" customHeight="1" x14ac:dyDescent="0.4">
      <c r="A119" s="244"/>
      <c r="B119" s="120"/>
      <c r="C119" s="98"/>
      <c r="D119" s="257" t="s">
        <v>124</v>
      </c>
      <c r="E119" s="262">
        <f>MIN(E108:E113)</f>
        <v>128.20227342662616</v>
      </c>
      <c r="F119" s="281">
        <f>MIN(F108:F113)</f>
        <v>80.126420891641345</v>
      </c>
      <c r="G119" s="98"/>
      <c r="H119" s="98"/>
      <c r="I119" s="98"/>
    </row>
    <row r="120" spans="1:10" ht="24" customHeight="1" x14ac:dyDescent="0.4">
      <c r="A120" s="244"/>
      <c r="B120" s="120"/>
      <c r="C120" s="98"/>
      <c r="D120" s="166" t="s">
        <v>125</v>
      </c>
      <c r="E120" s="263">
        <f>MAX(E108:E113)</f>
        <v>165.24884567537345</v>
      </c>
      <c r="F120" s="282">
        <f>MAX(F108:F113)</f>
        <v>103.2805285471084</v>
      </c>
      <c r="G120" s="98"/>
      <c r="H120" s="98"/>
      <c r="I120" s="98"/>
    </row>
    <row r="121" spans="1:10" ht="27" customHeight="1" x14ac:dyDescent="0.3">
      <c r="A121" s="244"/>
      <c r="B121" s="120"/>
      <c r="C121" s="98"/>
      <c r="D121" s="98"/>
      <c r="E121" s="98"/>
      <c r="F121" s="190"/>
      <c r="G121" s="98"/>
      <c r="H121" s="98"/>
      <c r="I121" s="98"/>
    </row>
    <row r="122" spans="1:10" ht="25.5" customHeight="1" x14ac:dyDescent="0.3">
      <c r="A122" s="244"/>
      <c r="B122" s="120"/>
      <c r="C122" s="98"/>
      <c r="D122" s="98"/>
      <c r="E122" s="98"/>
      <c r="F122" s="190"/>
      <c r="G122" s="98"/>
      <c r="H122" s="98"/>
      <c r="I122" s="98"/>
    </row>
    <row r="123" spans="1:10" ht="18.75" x14ac:dyDescent="0.3">
      <c r="A123" s="244"/>
      <c r="B123" s="120"/>
      <c r="C123" s="98"/>
      <c r="D123" s="98"/>
      <c r="E123" s="98"/>
      <c r="F123" s="190"/>
      <c r="G123" s="98"/>
      <c r="H123" s="98"/>
      <c r="I123" s="98"/>
    </row>
    <row r="124" spans="1:10" ht="45.75" customHeight="1" x14ac:dyDescent="0.65">
      <c r="A124" s="108" t="s">
        <v>106</v>
      </c>
      <c r="B124" s="196" t="s">
        <v>126</v>
      </c>
      <c r="C124" s="515" t="str">
        <f>B26</f>
        <v>TRIMETHOPRIM</v>
      </c>
      <c r="D124" s="515"/>
      <c r="E124" s="197" t="s">
        <v>127</v>
      </c>
      <c r="F124" s="197"/>
      <c r="G124" s="283">
        <f>F115</f>
        <v>91.400966983478227</v>
      </c>
      <c r="H124" s="98"/>
      <c r="I124" s="98"/>
    </row>
    <row r="125" spans="1:10" ht="45.75" customHeight="1" x14ac:dyDescent="0.65">
      <c r="A125" s="108"/>
      <c r="B125" s="196" t="s">
        <v>128</v>
      </c>
      <c r="C125" s="109" t="s">
        <v>129</v>
      </c>
      <c r="D125" s="283">
        <f>MIN(F108:F113)</f>
        <v>80.126420891641345</v>
      </c>
      <c r="E125" s="208" t="s">
        <v>130</v>
      </c>
      <c r="F125" s="283">
        <f>MAX(F108:F113)</f>
        <v>103.2805285471084</v>
      </c>
      <c r="G125" s="198"/>
      <c r="H125" s="98"/>
      <c r="I125" s="98"/>
    </row>
    <row r="126" spans="1:10" ht="19.5" customHeight="1" x14ac:dyDescent="0.3">
      <c r="A126" s="236"/>
      <c r="B126" s="236"/>
      <c r="C126" s="237"/>
      <c r="D126" s="237"/>
      <c r="E126" s="237"/>
      <c r="F126" s="237"/>
      <c r="G126" s="237"/>
      <c r="H126" s="237"/>
    </row>
    <row r="127" spans="1:10" ht="18.75" x14ac:dyDescent="0.3">
      <c r="B127" s="516" t="s">
        <v>26</v>
      </c>
      <c r="C127" s="516"/>
      <c r="E127" s="203" t="s">
        <v>27</v>
      </c>
      <c r="F127" s="238"/>
      <c r="G127" s="516" t="s">
        <v>28</v>
      </c>
      <c r="H127" s="516"/>
    </row>
    <row r="128" spans="1:10" ht="69.95" customHeight="1" x14ac:dyDescent="0.3">
      <c r="A128" s="239" t="s">
        <v>29</v>
      </c>
      <c r="B128" s="240"/>
      <c r="C128" s="240"/>
      <c r="E128" s="240"/>
      <c r="F128" s="98"/>
      <c r="G128" s="241"/>
      <c r="H128" s="241"/>
    </row>
    <row r="129" spans="1:9" ht="69.95" customHeight="1" x14ac:dyDescent="0.3">
      <c r="A129" s="239" t="s">
        <v>30</v>
      </c>
      <c r="B129" s="242"/>
      <c r="C129" s="242"/>
      <c r="E129" s="242"/>
      <c r="F129" s="98"/>
      <c r="G129" s="243"/>
      <c r="H129" s="243"/>
    </row>
    <row r="130" spans="1:9" ht="18.75" x14ac:dyDescent="0.3">
      <c r="A130" s="189"/>
      <c r="B130" s="189"/>
      <c r="C130" s="190"/>
      <c r="D130" s="190"/>
      <c r="E130" s="190"/>
      <c r="F130" s="193"/>
      <c r="G130" s="190"/>
      <c r="H130" s="190"/>
      <c r="I130" s="98"/>
    </row>
    <row r="131" spans="1:9" ht="18.75" x14ac:dyDescent="0.3">
      <c r="A131" s="189"/>
      <c r="B131" s="189"/>
      <c r="C131" s="190"/>
      <c r="D131" s="190"/>
      <c r="E131" s="190"/>
      <c r="F131" s="193"/>
      <c r="G131" s="190"/>
      <c r="H131" s="190"/>
      <c r="I131" s="98"/>
    </row>
    <row r="132" spans="1:9" ht="18.75" x14ac:dyDescent="0.3">
      <c r="A132" s="189"/>
      <c r="B132" s="189"/>
      <c r="C132" s="190"/>
      <c r="D132" s="190"/>
      <c r="E132" s="190"/>
      <c r="F132" s="193"/>
      <c r="G132" s="190"/>
      <c r="H132" s="190"/>
      <c r="I132" s="98"/>
    </row>
    <row r="133" spans="1:9" ht="18.75" x14ac:dyDescent="0.3">
      <c r="A133" s="189"/>
      <c r="B133" s="189"/>
      <c r="C133" s="190"/>
      <c r="D133" s="190"/>
      <c r="E133" s="190"/>
      <c r="F133" s="193"/>
      <c r="G133" s="190"/>
      <c r="H133" s="190"/>
      <c r="I133" s="98"/>
    </row>
    <row r="134" spans="1:9" ht="18.75" x14ac:dyDescent="0.3">
      <c r="A134" s="189"/>
      <c r="B134" s="189"/>
      <c r="C134" s="190"/>
      <c r="D134" s="190"/>
      <c r="E134" s="190"/>
      <c r="F134" s="193"/>
      <c r="G134" s="190"/>
      <c r="H134" s="190"/>
      <c r="I134" s="98"/>
    </row>
    <row r="135" spans="1:9" ht="18.75" x14ac:dyDescent="0.3">
      <c r="A135" s="189"/>
      <c r="B135" s="189"/>
      <c r="C135" s="190"/>
      <c r="D135" s="190"/>
      <c r="E135" s="190"/>
      <c r="F135" s="193"/>
      <c r="G135" s="190"/>
      <c r="H135" s="190"/>
      <c r="I135" s="98"/>
    </row>
    <row r="136" spans="1:9" ht="18.75" x14ac:dyDescent="0.3">
      <c r="A136" s="189"/>
      <c r="B136" s="189"/>
      <c r="C136" s="190"/>
      <c r="D136" s="190"/>
      <c r="E136" s="190"/>
      <c r="F136" s="193"/>
      <c r="G136" s="190"/>
      <c r="H136" s="190"/>
      <c r="I136" s="98"/>
    </row>
    <row r="137" spans="1:9" ht="18.75" x14ac:dyDescent="0.3">
      <c r="A137" s="189"/>
      <c r="B137" s="189"/>
      <c r="C137" s="190"/>
      <c r="D137" s="190"/>
      <c r="E137" s="190"/>
      <c r="F137" s="193"/>
      <c r="G137" s="190"/>
      <c r="H137" s="190"/>
      <c r="I137" s="98"/>
    </row>
    <row r="138" spans="1:9" ht="18.75" x14ac:dyDescent="0.3">
      <c r="A138" s="189"/>
      <c r="B138" s="189"/>
      <c r="C138" s="190"/>
      <c r="D138" s="190"/>
      <c r="E138" s="190"/>
      <c r="F138" s="193"/>
      <c r="G138" s="190"/>
      <c r="H138" s="190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59" zoomScale="50" zoomScaleNormal="40" zoomScalePageLayoutView="50" workbookViewId="0">
      <selection activeCell="B57" sqref="B5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13" t="s">
        <v>45</v>
      </c>
      <c r="B1" s="513"/>
      <c r="C1" s="513"/>
      <c r="D1" s="513"/>
      <c r="E1" s="513"/>
      <c r="F1" s="513"/>
      <c r="G1" s="513"/>
      <c r="H1" s="513"/>
      <c r="I1" s="513"/>
    </row>
    <row r="2" spans="1:9" ht="18.75" customHeight="1" x14ac:dyDescent="0.25">
      <c r="A2" s="513"/>
      <c r="B2" s="513"/>
      <c r="C2" s="513"/>
      <c r="D2" s="513"/>
      <c r="E2" s="513"/>
      <c r="F2" s="513"/>
      <c r="G2" s="513"/>
      <c r="H2" s="513"/>
      <c r="I2" s="513"/>
    </row>
    <row r="3" spans="1:9" ht="18.75" customHeight="1" x14ac:dyDescent="0.25">
      <c r="A3" s="513"/>
      <c r="B3" s="513"/>
      <c r="C3" s="513"/>
      <c r="D3" s="513"/>
      <c r="E3" s="513"/>
      <c r="F3" s="513"/>
      <c r="G3" s="513"/>
      <c r="H3" s="513"/>
      <c r="I3" s="513"/>
    </row>
    <row r="4" spans="1:9" ht="18.75" customHeight="1" x14ac:dyDescent="0.25">
      <c r="A4" s="513"/>
      <c r="B4" s="513"/>
      <c r="C4" s="513"/>
      <c r="D4" s="513"/>
      <c r="E4" s="513"/>
      <c r="F4" s="513"/>
      <c r="G4" s="513"/>
      <c r="H4" s="513"/>
      <c r="I4" s="513"/>
    </row>
    <row r="5" spans="1:9" ht="18.75" customHeight="1" x14ac:dyDescent="0.25">
      <c r="A5" s="513"/>
      <c r="B5" s="513"/>
      <c r="C5" s="513"/>
      <c r="D5" s="513"/>
      <c r="E5" s="513"/>
      <c r="F5" s="513"/>
      <c r="G5" s="513"/>
      <c r="H5" s="513"/>
      <c r="I5" s="513"/>
    </row>
    <row r="6" spans="1:9" ht="18.75" customHeight="1" x14ac:dyDescent="0.25">
      <c r="A6" s="513"/>
      <c r="B6" s="513"/>
      <c r="C6" s="513"/>
      <c r="D6" s="513"/>
      <c r="E6" s="513"/>
      <c r="F6" s="513"/>
      <c r="G6" s="513"/>
      <c r="H6" s="513"/>
      <c r="I6" s="513"/>
    </row>
    <row r="7" spans="1:9" ht="18.75" customHeight="1" x14ac:dyDescent="0.25">
      <c r="A7" s="513"/>
      <c r="B7" s="513"/>
      <c r="C7" s="513"/>
      <c r="D7" s="513"/>
      <c r="E7" s="513"/>
      <c r="F7" s="513"/>
      <c r="G7" s="513"/>
      <c r="H7" s="513"/>
      <c r="I7" s="513"/>
    </row>
    <row r="8" spans="1:9" x14ac:dyDescent="0.25">
      <c r="A8" s="514" t="s">
        <v>46</v>
      </c>
      <c r="B8" s="514"/>
      <c r="C8" s="514"/>
      <c r="D8" s="514"/>
      <c r="E8" s="514"/>
      <c r="F8" s="514"/>
      <c r="G8" s="514"/>
      <c r="H8" s="514"/>
      <c r="I8" s="514"/>
    </row>
    <row r="9" spans="1:9" x14ac:dyDescent="0.25">
      <c r="A9" s="514"/>
      <c r="B9" s="514"/>
      <c r="C9" s="514"/>
      <c r="D9" s="514"/>
      <c r="E9" s="514"/>
      <c r="F9" s="514"/>
      <c r="G9" s="514"/>
      <c r="H9" s="514"/>
      <c r="I9" s="514"/>
    </row>
    <row r="10" spans="1:9" x14ac:dyDescent="0.25">
      <c r="A10" s="514"/>
      <c r="B10" s="514"/>
      <c r="C10" s="514"/>
      <c r="D10" s="514"/>
      <c r="E10" s="514"/>
      <c r="F10" s="514"/>
      <c r="G10" s="514"/>
      <c r="H10" s="514"/>
      <c r="I10" s="514"/>
    </row>
    <row r="11" spans="1:9" x14ac:dyDescent="0.25">
      <c r="A11" s="514"/>
      <c r="B11" s="514"/>
      <c r="C11" s="514"/>
      <c r="D11" s="514"/>
      <c r="E11" s="514"/>
      <c r="F11" s="514"/>
      <c r="G11" s="514"/>
      <c r="H11" s="514"/>
      <c r="I11" s="514"/>
    </row>
    <row r="12" spans="1:9" x14ac:dyDescent="0.25">
      <c r="A12" s="514"/>
      <c r="B12" s="514"/>
      <c r="C12" s="514"/>
      <c r="D12" s="514"/>
      <c r="E12" s="514"/>
      <c r="F12" s="514"/>
      <c r="G12" s="514"/>
      <c r="H12" s="514"/>
      <c r="I12" s="514"/>
    </row>
    <row r="13" spans="1:9" x14ac:dyDescent="0.25">
      <c r="A13" s="514"/>
      <c r="B13" s="514"/>
      <c r="C13" s="514"/>
      <c r="D13" s="514"/>
      <c r="E13" s="514"/>
      <c r="F13" s="514"/>
      <c r="G13" s="514"/>
      <c r="H13" s="514"/>
      <c r="I13" s="514"/>
    </row>
    <row r="14" spans="1:9" x14ac:dyDescent="0.25">
      <c r="A14" s="514"/>
      <c r="B14" s="514"/>
      <c r="C14" s="514"/>
      <c r="D14" s="514"/>
      <c r="E14" s="514"/>
      <c r="F14" s="514"/>
      <c r="G14" s="514"/>
      <c r="H14" s="514"/>
      <c r="I14" s="514"/>
    </row>
    <row r="15" spans="1:9" ht="19.5" customHeight="1" x14ac:dyDescent="0.3">
      <c r="A15" s="285"/>
    </row>
    <row r="16" spans="1:9" ht="19.5" customHeight="1" x14ac:dyDescent="0.3">
      <c r="A16" s="486" t="s">
        <v>31</v>
      </c>
      <c r="B16" s="487"/>
      <c r="C16" s="487"/>
      <c r="D16" s="487"/>
      <c r="E16" s="487"/>
      <c r="F16" s="487"/>
      <c r="G16" s="487"/>
      <c r="H16" s="488"/>
    </row>
    <row r="17" spans="1:14" ht="20.25" customHeight="1" x14ac:dyDescent="0.25">
      <c r="A17" s="489" t="s">
        <v>47</v>
      </c>
      <c r="B17" s="489"/>
      <c r="C17" s="489"/>
      <c r="D17" s="489"/>
      <c r="E17" s="489"/>
      <c r="F17" s="489"/>
      <c r="G17" s="489"/>
      <c r="H17" s="489"/>
    </row>
    <row r="18" spans="1:14" ht="26.25" customHeight="1" x14ac:dyDescent="0.4">
      <c r="A18" s="287" t="s">
        <v>33</v>
      </c>
      <c r="B18" s="485" t="s">
        <v>5</v>
      </c>
      <c r="C18" s="485"/>
      <c r="D18" s="433"/>
      <c r="E18" s="288"/>
      <c r="F18" s="289"/>
      <c r="G18" s="289"/>
      <c r="H18" s="289"/>
    </row>
    <row r="19" spans="1:14" ht="26.25" customHeight="1" x14ac:dyDescent="0.4">
      <c r="A19" s="287" t="s">
        <v>34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35</v>
      </c>
      <c r="B20" s="490" t="s">
        <v>133</v>
      </c>
      <c r="C20" s="490"/>
      <c r="D20" s="289"/>
      <c r="E20" s="289"/>
      <c r="F20" s="289"/>
      <c r="G20" s="289"/>
      <c r="H20" s="289"/>
    </row>
    <row r="21" spans="1:14" ht="26.25" customHeight="1" x14ac:dyDescent="0.4">
      <c r="A21" s="287" t="s">
        <v>36</v>
      </c>
      <c r="B21" s="490" t="s">
        <v>134</v>
      </c>
      <c r="C21" s="490"/>
      <c r="D21" s="490"/>
      <c r="E21" s="490"/>
      <c r="F21" s="490"/>
      <c r="G21" s="490"/>
      <c r="H21" s="490"/>
      <c r="I21" s="291"/>
    </row>
    <row r="22" spans="1:14" ht="26.25" customHeight="1" x14ac:dyDescent="0.4">
      <c r="A22" s="287" t="s">
        <v>37</v>
      </c>
      <c r="B22" s="292" t="s">
        <v>139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38</v>
      </c>
      <c r="B23" s="292"/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485" t="s">
        <v>131</v>
      </c>
      <c r="C26" s="485"/>
    </row>
    <row r="27" spans="1:14" ht="26.25" customHeight="1" x14ac:dyDescent="0.4">
      <c r="A27" s="296" t="s">
        <v>48</v>
      </c>
      <c r="B27" s="491" t="s">
        <v>132</v>
      </c>
      <c r="C27" s="491"/>
    </row>
    <row r="28" spans="1:14" ht="27" customHeight="1" x14ac:dyDescent="0.4">
      <c r="A28" s="296" t="s">
        <v>6</v>
      </c>
      <c r="B28" s="297">
        <v>99.02</v>
      </c>
    </row>
    <row r="29" spans="1:14" s="14" customFormat="1" ht="27" customHeight="1" x14ac:dyDescent="0.4">
      <c r="A29" s="296" t="s">
        <v>49</v>
      </c>
      <c r="B29" s="298"/>
      <c r="C29" s="492" t="s">
        <v>50</v>
      </c>
      <c r="D29" s="493"/>
      <c r="E29" s="493"/>
      <c r="F29" s="493"/>
      <c r="G29" s="494"/>
      <c r="I29" s="299"/>
      <c r="J29" s="299"/>
      <c r="K29" s="299"/>
      <c r="L29" s="299"/>
    </row>
    <row r="30" spans="1:14" s="14" customFormat="1" ht="19.5" customHeight="1" x14ac:dyDescent="0.3">
      <c r="A30" s="296" t="s">
        <v>51</v>
      </c>
      <c r="B30" s="300">
        <f>B28-B29</f>
        <v>99.02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52</v>
      </c>
      <c r="B31" s="303">
        <v>1</v>
      </c>
      <c r="C31" s="495" t="s">
        <v>53</v>
      </c>
      <c r="D31" s="496"/>
      <c r="E31" s="496"/>
      <c r="F31" s="496"/>
      <c r="G31" s="496"/>
      <c r="H31" s="497"/>
      <c r="I31" s="299"/>
      <c r="J31" s="299"/>
      <c r="K31" s="299"/>
      <c r="L31" s="299"/>
    </row>
    <row r="32" spans="1:14" s="14" customFormat="1" ht="27" customHeight="1" x14ac:dyDescent="0.4">
      <c r="A32" s="296" t="s">
        <v>54</v>
      </c>
      <c r="B32" s="303">
        <v>1</v>
      </c>
      <c r="C32" s="495" t="s">
        <v>55</v>
      </c>
      <c r="D32" s="496"/>
      <c r="E32" s="496"/>
      <c r="F32" s="496"/>
      <c r="G32" s="496"/>
      <c r="H32" s="497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56</v>
      </c>
      <c r="B34" s="308">
        <f>B31/B32</f>
        <v>1</v>
      </c>
      <c r="C34" s="286" t="s">
        <v>57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58</v>
      </c>
      <c r="B36" s="310">
        <v>100</v>
      </c>
      <c r="C36" s="286"/>
      <c r="D36" s="498" t="s">
        <v>59</v>
      </c>
      <c r="E36" s="499"/>
      <c r="F36" s="498" t="s">
        <v>60</v>
      </c>
      <c r="G36" s="500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61</v>
      </c>
      <c r="B37" s="312">
        <v>1</v>
      </c>
      <c r="C37" s="313" t="s">
        <v>62</v>
      </c>
      <c r="D37" s="314" t="s">
        <v>63</v>
      </c>
      <c r="E37" s="315" t="s">
        <v>64</v>
      </c>
      <c r="F37" s="314" t="s">
        <v>63</v>
      </c>
      <c r="G37" s="316" t="s">
        <v>64</v>
      </c>
      <c r="I37" s="317" t="s">
        <v>65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66</v>
      </c>
      <c r="B38" s="312">
        <v>1</v>
      </c>
      <c r="C38" s="318">
        <v>1</v>
      </c>
      <c r="D38" s="319">
        <v>37449415</v>
      </c>
      <c r="E38" s="320">
        <f>IF(ISBLANK(D38),"-",$D$48/$D$45*D38)</f>
        <v>34897394.69872804</v>
      </c>
      <c r="F38" s="319">
        <v>35694033</v>
      </c>
      <c r="G38" s="321">
        <f>IF(ISBLANK(F38),"-",$D$48/$F$45*F38)</f>
        <v>35232543.927434489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67</v>
      </c>
      <c r="B39" s="312">
        <v>1</v>
      </c>
      <c r="C39" s="323">
        <v>2</v>
      </c>
      <c r="D39" s="324">
        <v>37811649</v>
      </c>
      <c r="E39" s="325">
        <f>IF(ISBLANK(D39),"-",$D$48/$D$45*D39)</f>
        <v>35234943.973430969</v>
      </c>
      <c r="F39" s="324">
        <v>35996732</v>
      </c>
      <c r="G39" s="326">
        <f>IF(ISBLANK(F39),"-",$D$48/$F$45*F39)</f>
        <v>35531329.324262314</v>
      </c>
      <c r="I39" s="502">
        <f>ABS((F43/D43*D42)-F42)/D42</f>
        <v>8.161633214341376E-3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68</v>
      </c>
      <c r="B40" s="312">
        <v>1</v>
      </c>
      <c r="C40" s="323">
        <v>3</v>
      </c>
      <c r="D40" s="324">
        <v>37680624</v>
      </c>
      <c r="E40" s="325">
        <f>IF(ISBLANK(D40),"-",$D$48/$D$45*D40)</f>
        <v>35112847.776724003</v>
      </c>
      <c r="F40" s="324">
        <v>35854751</v>
      </c>
      <c r="G40" s="326">
        <f>IF(ISBLANK(F40),"-",$D$48/$F$45*F40)</f>
        <v>35391184.000270456</v>
      </c>
      <c r="I40" s="502"/>
      <c r="L40" s="304"/>
      <c r="M40" s="304"/>
      <c r="N40" s="327"/>
    </row>
    <row r="41" spans="1:14" ht="27" customHeight="1" x14ac:dyDescent="0.4">
      <c r="A41" s="311" t="s">
        <v>69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70</v>
      </c>
      <c r="B42" s="312">
        <v>1</v>
      </c>
      <c r="C42" s="333" t="s">
        <v>71</v>
      </c>
      <c r="D42" s="334">
        <f>AVERAGE(D38:D41)</f>
        <v>37647229.333333336</v>
      </c>
      <c r="E42" s="335">
        <f>AVERAGE(E38:E41)</f>
        <v>35081728.816294342</v>
      </c>
      <c r="F42" s="334">
        <f>AVERAGE(F38:F41)</f>
        <v>35848505.333333336</v>
      </c>
      <c r="G42" s="336">
        <f>AVERAGE(G38:G41)</f>
        <v>35385019.083989084</v>
      </c>
      <c r="H42" s="337"/>
    </row>
    <row r="43" spans="1:14" ht="26.25" customHeight="1" x14ac:dyDescent="0.4">
      <c r="A43" s="311" t="s">
        <v>72</v>
      </c>
      <c r="B43" s="312">
        <v>1</v>
      </c>
      <c r="C43" s="338" t="s">
        <v>73</v>
      </c>
      <c r="D43" s="339">
        <v>17.34</v>
      </c>
      <c r="E43" s="327"/>
      <c r="F43" s="339">
        <v>16.37</v>
      </c>
      <c r="H43" s="337"/>
    </row>
    <row r="44" spans="1:14" ht="26.25" customHeight="1" x14ac:dyDescent="0.4">
      <c r="A44" s="311" t="s">
        <v>74</v>
      </c>
      <c r="B44" s="312">
        <v>1</v>
      </c>
      <c r="C44" s="340" t="s">
        <v>75</v>
      </c>
      <c r="D44" s="341">
        <f>D43*$B$34</f>
        <v>17.34</v>
      </c>
      <c r="E44" s="342"/>
      <c r="F44" s="341">
        <f>F43*$B$34</f>
        <v>16.37</v>
      </c>
      <c r="H44" s="337"/>
    </row>
    <row r="45" spans="1:14" ht="19.5" customHeight="1" x14ac:dyDescent="0.3">
      <c r="A45" s="311" t="s">
        <v>76</v>
      </c>
      <c r="B45" s="343">
        <f>(B44/B43)*(B42/B41)*(B40/B39)*(B38/B37)*B36</f>
        <v>100</v>
      </c>
      <c r="C45" s="340" t="s">
        <v>77</v>
      </c>
      <c r="D45" s="344">
        <f>D44*$B$30/100</f>
        <v>17.170068000000001</v>
      </c>
      <c r="E45" s="345"/>
      <c r="F45" s="344">
        <f>F44*$B$30/100</f>
        <v>16.209574</v>
      </c>
      <c r="H45" s="337"/>
    </row>
    <row r="46" spans="1:14" ht="19.5" customHeight="1" x14ac:dyDescent="0.3">
      <c r="A46" s="503" t="s">
        <v>78</v>
      </c>
      <c r="B46" s="504"/>
      <c r="C46" s="340" t="s">
        <v>79</v>
      </c>
      <c r="D46" s="346">
        <f>D45/$B$45</f>
        <v>0.17170067999999999</v>
      </c>
      <c r="E46" s="347"/>
      <c r="F46" s="348">
        <f>F45/$B$45</f>
        <v>0.16209573999999999</v>
      </c>
      <c r="H46" s="337"/>
    </row>
    <row r="47" spans="1:14" ht="27" customHeight="1" x14ac:dyDescent="0.4">
      <c r="A47" s="505"/>
      <c r="B47" s="506"/>
      <c r="C47" s="349" t="s">
        <v>80</v>
      </c>
      <c r="D47" s="350">
        <v>0.16</v>
      </c>
      <c r="E47" s="351"/>
      <c r="F47" s="347"/>
      <c r="H47" s="337"/>
    </row>
    <row r="48" spans="1:14" ht="18.75" x14ac:dyDescent="0.3">
      <c r="C48" s="352" t="s">
        <v>81</v>
      </c>
      <c r="D48" s="344">
        <f>D47*$B$45</f>
        <v>16</v>
      </c>
      <c r="F48" s="353"/>
      <c r="H48" s="337"/>
    </row>
    <row r="49" spans="1:12" ht="19.5" customHeight="1" x14ac:dyDescent="0.3">
      <c r="C49" s="354" t="s">
        <v>82</v>
      </c>
      <c r="D49" s="355">
        <f>D48/B34</f>
        <v>16</v>
      </c>
      <c r="F49" s="353"/>
      <c r="H49" s="337"/>
    </row>
    <row r="50" spans="1:12" ht="18.75" x14ac:dyDescent="0.3">
      <c r="C50" s="309" t="s">
        <v>83</v>
      </c>
      <c r="D50" s="356">
        <f>AVERAGE(E38:E41,G38:G41)</f>
        <v>35233373.950141713</v>
      </c>
      <c r="F50" s="357"/>
      <c r="H50" s="337"/>
    </row>
    <row r="51" spans="1:12" ht="18.75" x14ac:dyDescent="0.3">
      <c r="C51" s="311" t="s">
        <v>84</v>
      </c>
      <c r="D51" s="358">
        <f>STDEV(E38:E41,G38:G41)/D50</f>
        <v>6.2323700696267949E-3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85</v>
      </c>
    </row>
    <row r="55" spans="1:12" ht="18.75" x14ac:dyDescent="0.3">
      <c r="A55" s="286" t="s">
        <v>86</v>
      </c>
      <c r="B55" s="363" t="str">
        <f>B21</f>
        <v>Each tablet contains: Sulfamethoxazole BP 800 mg and Trimethoprim BP 160 mg.</v>
      </c>
    </row>
    <row r="56" spans="1:12" ht="26.25" customHeight="1" x14ac:dyDescent="0.4">
      <c r="A56" s="364" t="s">
        <v>87</v>
      </c>
      <c r="B56" s="365">
        <v>800</v>
      </c>
      <c r="C56" s="286" t="str">
        <f>B20</f>
        <v xml:space="preserve">Sulfamethoxazole BP </v>
      </c>
      <c r="H56" s="366"/>
    </row>
    <row r="57" spans="1:12" ht="18.75" x14ac:dyDescent="0.3">
      <c r="A57" s="363" t="s">
        <v>88</v>
      </c>
      <c r="B57" s="434">
        <f>Uniformity!C46</f>
        <v>1041.5965000000001</v>
      </c>
      <c r="H57" s="366"/>
    </row>
    <row r="58" spans="1:12" ht="19.5" customHeight="1" x14ac:dyDescent="0.3">
      <c r="H58" s="366"/>
    </row>
    <row r="59" spans="1:12" s="14" customFormat="1" ht="27" customHeight="1" x14ac:dyDescent="0.4">
      <c r="A59" s="309" t="s">
        <v>89</v>
      </c>
      <c r="B59" s="310">
        <v>100</v>
      </c>
      <c r="C59" s="286"/>
      <c r="D59" s="367" t="s">
        <v>90</v>
      </c>
      <c r="E59" s="368" t="s">
        <v>62</v>
      </c>
      <c r="F59" s="368" t="s">
        <v>63</v>
      </c>
      <c r="G59" s="368" t="s">
        <v>91</v>
      </c>
      <c r="H59" s="313" t="s">
        <v>92</v>
      </c>
      <c r="L59" s="299"/>
    </row>
    <row r="60" spans="1:12" s="14" customFormat="1" ht="26.25" customHeight="1" x14ac:dyDescent="0.4">
      <c r="A60" s="311" t="s">
        <v>93</v>
      </c>
      <c r="B60" s="312">
        <v>2</v>
      </c>
      <c r="C60" s="507" t="s">
        <v>94</v>
      </c>
      <c r="D60" s="510">
        <v>1030.8699999999999</v>
      </c>
      <c r="E60" s="369">
        <v>1</v>
      </c>
      <c r="F60" s="370">
        <v>35148455</v>
      </c>
      <c r="G60" s="435">
        <f>IF(ISBLANK(F60),"-",(F60/$D$50*$D$47*$B$68)*($B$57/$D$60))</f>
        <v>806.37602003553798</v>
      </c>
      <c r="H60" s="453">
        <f t="shared" ref="H60:H71" si="0">IF(ISBLANK(F60),"-",(G60/$B$56)*100)</f>
        <v>100.79700250444226</v>
      </c>
      <c r="L60" s="299"/>
    </row>
    <row r="61" spans="1:12" s="14" customFormat="1" ht="26.25" customHeight="1" x14ac:dyDescent="0.4">
      <c r="A61" s="311" t="s">
        <v>95</v>
      </c>
      <c r="B61" s="312">
        <v>100</v>
      </c>
      <c r="C61" s="508"/>
      <c r="D61" s="511"/>
      <c r="E61" s="371">
        <v>2</v>
      </c>
      <c r="F61" s="324">
        <v>35121154</v>
      </c>
      <c r="G61" s="436">
        <f>IF(ISBLANK(F61),"-",(F61/$D$50*$D$47*$B$68)*($B$57/$D$60))</f>
        <v>805.7496803650464</v>
      </c>
      <c r="H61" s="454">
        <f t="shared" si="0"/>
        <v>100.7187100456308</v>
      </c>
      <c r="L61" s="299"/>
    </row>
    <row r="62" spans="1:12" s="14" customFormat="1" ht="26.25" customHeight="1" x14ac:dyDescent="0.4">
      <c r="A62" s="311" t="s">
        <v>96</v>
      </c>
      <c r="B62" s="312">
        <v>1</v>
      </c>
      <c r="C62" s="508"/>
      <c r="D62" s="511"/>
      <c r="E62" s="371">
        <v>3</v>
      </c>
      <c r="F62" s="372">
        <v>35204046</v>
      </c>
      <c r="G62" s="436">
        <f>IF(ISBLANK(F62),"-",(F62/$D$50*$D$47*$B$68)*($B$57/$D$60))</f>
        <v>807.65138901917612</v>
      </c>
      <c r="H62" s="454">
        <f t="shared" si="0"/>
        <v>100.956423627397</v>
      </c>
      <c r="L62" s="299"/>
    </row>
    <row r="63" spans="1:12" ht="27" customHeight="1" x14ac:dyDescent="0.4">
      <c r="A63" s="311" t="s">
        <v>97</v>
      </c>
      <c r="B63" s="312">
        <v>1</v>
      </c>
      <c r="C63" s="509"/>
      <c r="D63" s="512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98</v>
      </c>
      <c r="B64" s="312">
        <v>1</v>
      </c>
      <c r="C64" s="507" t="s">
        <v>99</v>
      </c>
      <c r="D64" s="510">
        <v>1041.8699999999999</v>
      </c>
      <c r="E64" s="369">
        <v>1</v>
      </c>
      <c r="F64" s="370">
        <v>35514228</v>
      </c>
      <c r="G64" s="435">
        <f>IF(ISBLANK(F64),"-",(F64/$D$50*$D$47*$B$68)*($B$57/$D$64))</f>
        <v>806.16531937812408</v>
      </c>
      <c r="H64" s="453">
        <f t="shared" si="0"/>
        <v>100.77066492226552</v>
      </c>
    </row>
    <row r="65" spans="1:8" ht="26.25" customHeight="1" x14ac:dyDescent="0.4">
      <c r="A65" s="311" t="s">
        <v>100</v>
      </c>
      <c r="B65" s="312">
        <v>1</v>
      </c>
      <c r="C65" s="508"/>
      <c r="D65" s="511"/>
      <c r="E65" s="371">
        <v>2</v>
      </c>
      <c r="F65" s="324">
        <v>35100901</v>
      </c>
      <c r="G65" s="436">
        <f>IF(ISBLANK(F65),"-",(F65/$D$50*$D$47*$B$68)*($B$57/$D$64))</f>
        <v>796.78288558391057</v>
      </c>
      <c r="H65" s="454">
        <f t="shared" si="0"/>
        <v>99.597860697988821</v>
      </c>
    </row>
    <row r="66" spans="1:8" ht="26.25" customHeight="1" x14ac:dyDescent="0.4">
      <c r="A66" s="311" t="s">
        <v>101</v>
      </c>
      <c r="B66" s="312">
        <v>1</v>
      </c>
      <c r="C66" s="508"/>
      <c r="D66" s="511"/>
      <c r="E66" s="371">
        <v>3</v>
      </c>
      <c r="F66" s="324">
        <v>35415291</v>
      </c>
      <c r="G66" s="436">
        <f>IF(ISBLANK(F66),"-",(F66/$D$50*$D$47*$B$68)*($B$57/$D$64))</f>
        <v>803.91947080714249</v>
      </c>
      <c r="H66" s="454">
        <f t="shared" si="0"/>
        <v>100.48993385089283</v>
      </c>
    </row>
    <row r="67" spans="1:8" ht="27" customHeight="1" x14ac:dyDescent="0.4">
      <c r="A67" s="311" t="s">
        <v>102</v>
      </c>
      <c r="B67" s="312">
        <v>1</v>
      </c>
      <c r="C67" s="509"/>
      <c r="D67" s="512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103</v>
      </c>
      <c r="B68" s="375">
        <f>(B67/B66)*(B65/B64)*(B63/B62)*(B61/B60)*B59</f>
        <v>5000</v>
      </c>
      <c r="C68" s="507" t="s">
        <v>104</v>
      </c>
      <c r="D68" s="510">
        <v>1050.52</v>
      </c>
      <c r="E68" s="369">
        <v>1</v>
      </c>
      <c r="F68" s="370">
        <v>35423448</v>
      </c>
      <c r="G68" s="435">
        <f>IF(ISBLANK(F68),"-",(F68/$D$50*$D$47*$B$68)*($B$57/$D$68))</f>
        <v>797.4836213781756</v>
      </c>
      <c r="H68" s="454">
        <f t="shared" si="0"/>
        <v>99.68545267227195</v>
      </c>
    </row>
    <row r="69" spans="1:8" ht="27" customHeight="1" x14ac:dyDescent="0.4">
      <c r="A69" s="359" t="s">
        <v>105</v>
      </c>
      <c r="B69" s="376">
        <f>(D47*B68)/B56*B57</f>
        <v>1041.5965000000001</v>
      </c>
      <c r="C69" s="508"/>
      <c r="D69" s="511"/>
      <c r="E69" s="371">
        <v>2</v>
      </c>
      <c r="F69" s="324">
        <v>35591577</v>
      </c>
      <c r="G69" s="436">
        <f>IF(ISBLANK(F69),"-",(F69/$D$50*$D$47*$B$68)*($B$57/$D$68))</f>
        <v>801.26868837048801</v>
      </c>
      <c r="H69" s="454">
        <f t="shared" si="0"/>
        <v>100.158586046311</v>
      </c>
    </row>
    <row r="70" spans="1:8" ht="26.25" customHeight="1" x14ac:dyDescent="0.4">
      <c r="A70" s="520" t="s">
        <v>78</v>
      </c>
      <c r="B70" s="521"/>
      <c r="C70" s="508"/>
      <c r="D70" s="511"/>
      <c r="E70" s="371">
        <v>3</v>
      </c>
      <c r="F70" s="324">
        <v>35607833</v>
      </c>
      <c r="G70" s="436">
        <f>IF(ISBLANK(F70),"-",(F70/$D$50*$D$47*$B$68)*($B$57/$D$68))</f>
        <v>801.63465765019021</v>
      </c>
      <c r="H70" s="454">
        <f t="shared" si="0"/>
        <v>100.20433220627379</v>
      </c>
    </row>
    <row r="71" spans="1:8" ht="27" customHeight="1" x14ac:dyDescent="0.4">
      <c r="A71" s="522"/>
      <c r="B71" s="523"/>
      <c r="C71" s="519"/>
      <c r="D71" s="512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71</v>
      </c>
      <c r="G72" s="441">
        <f>AVERAGE(G60:G71)</f>
        <v>803.00352584308791</v>
      </c>
      <c r="H72" s="456">
        <f>AVERAGE(H60:H71)</f>
        <v>100.375440730386</v>
      </c>
    </row>
    <row r="73" spans="1:8" ht="26.25" customHeight="1" x14ac:dyDescent="0.4">
      <c r="C73" s="377"/>
      <c r="D73" s="377"/>
      <c r="E73" s="377"/>
      <c r="F73" s="380" t="s">
        <v>84</v>
      </c>
      <c r="G73" s="440">
        <f>STDEV(G60:G71)/G72</f>
        <v>4.9305019499319572E-3</v>
      </c>
      <c r="H73" s="440">
        <f>STDEV(H60:H71)/H72</f>
        <v>4.9305019499319633E-3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9</v>
      </c>
      <c r="H74" s="383">
        <f>COUNT(H60:H71)</f>
        <v>9</v>
      </c>
    </row>
    <row r="76" spans="1:8" ht="26.25" customHeight="1" x14ac:dyDescent="0.4">
      <c r="A76" s="295" t="s">
        <v>106</v>
      </c>
      <c r="B76" s="384" t="s">
        <v>107</v>
      </c>
      <c r="C76" s="515" t="str">
        <f>B26</f>
        <v>SULFAMETHOXAZOLE</v>
      </c>
      <c r="D76" s="515"/>
      <c r="E76" s="385" t="s">
        <v>108</v>
      </c>
      <c r="F76" s="385"/>
      <c r="G76" s="472">
        <f>H72</f>
        <v>100.375440730386</v>
      </c>
      <c r="H76" s="387"/>
    </row>
    <row r="77" spans="1:8" ht="18.75" x14ac:dyDescent="0.3">
      <c r="A77" s="294" t="s">
        <v>109</v>
      </c>
      <c r="B77" s="294" t="s">
        <v>110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501" t="s">
        <v>131</v>
      </c>
      <c r="C79" s="501"/>
    </row>
    <row r="80" spans="1:8" ht="26.25" customHeight="1" x14ac:dyDescent="0.4">
      <c r="A80" s="296" t="s">
        <v>48</v>
      </c>
      <c r="B80" s="501" t="s">
        <v>132</v>
      </c>
      <c r="C80" s="501"/>
    </row>
    <row r="81" spans="1:12" ht="27" customHeight="1" x14ac:dyDescent="0.4">
      <c r="A81" s="296" t="s">
        <v>6</v>
      </c>
      <c r="B81" s="388">
        <v>99.02</v>
      </c>
    </row>
    <row r="82" spans="1:12" s="14" customFormat="1" ht="27" customHeight="1" x14ac:dyDescent="0.4">
      <c r="A82" s="296" t="s">
        <v>49</v>
      </c>
      <c r="B82" s="298">
        <v>0</v>
      </c>
      <c r="C82" s="492" t="s">
        <v>50</v>
      </c>
      <c r="D82" s="493"/>
      <c r="E82" s="493"/>
      <c r="F82" s="493"/>
      <c r="G82" s="494"/>
      <c r="I82" s="299"/>
      <c r="J82" s="299"/>
      <c r="K82" s="299"/>
      <c r="L82" s="299"/>
    </row>
    <row r="83" spans="1:12" s="14" customFormat="1" ht="19.5" customHeight="1" x14ac:dyDescent="0.3">
      <c r="A83" s="296" t="s">
        <v>51</v>
      </c>
      <c r="B83" s="300">
        <f>B81-B82</f>
        <v>99.02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52</v>
      </c>
      <c r="B84" s="303">
        <v>1</v>
      </c>
      <c r="C84" s="495" t="s">
        <v>111</v>
      </c>
      <c r="D84" s="496"/>
      <c r="E84" s="496"/>
      <c r="F84" s="496"/>
      <c r="G84" s="496"/>
      <c r="H84" s="497"/>
      <c r="I84" s="299"/>
      <c r="J84" s="299"/>
      <c r="K84" s="299"/>
      <c r="L84" s="299"/>
    </row>
    <row r="85" spans="1:12" s="14" customFormat="1" ht="27" customHeight="1" x14ac:dyDescent="0.4">
      <c r="A85" s="296" t="s">
        <v>54</v>
      </c>
      <c r="B85" s="303">
        <v>1</v>
      </c>
      <c r="C85" s="495" t="s">
        <v>112</v>
      </c>
      <c r="D85" s="496"/>
      <c r="E85" s="496"/>
      <c r="F85" s="496"/>
      <c r="G85" s="496"/>
      <c r="H85" s="497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56</v>
      </c>
      <c r="B87" s="308">
        <f>B84/B85</f>
        <v>1</v>
      </c>
      <c r="C87" s="286" t="s">
        <v>57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58</v>
      </c>
      <c r="B89" s="310">
        <v>100</v>
      </c>
      <c r="D89" s="389" t="s">
        <v>59</v>
      </c>
      <c r="E89" s="390"/>
      <c r="F89" s="498" t="s">
        <v>60</v>
      </c>
      <c r="G89" s="500"/>
    </row>
    <row r="90" spans="1:12" ht="27" customHeight="1" x14ac:dyDescent="0.4">
      <c r="A90" s="311" t="s">
        <v>61</v>
      </c>
      <c r="B90" s="312">
        <v>1</v>
      </c>
      <c r="C90" s="391" t="s">
        <v>62</v>
      </c>
      <c r="D90" s="314" t="s">
        <v>63</v>
      </c>
      <c r="E90" s="315" t="s">
        <v>64</v>
      </c>
      <c r="F90" s="314" t="s">
        <v>63</v>
      </c>
      <c r="G90" s="392" t="s">
        <v>64</v>
      </c>
      <c r="I90" s="317" t="s">
        <v>65</v>
      </c>
    </row>
    <row r="91" spans="1:12" ht="26.25" customHeight="1" x14ac:dyDescent="0.4">
      <c r="A91" s="311" t="s">
        <v>66</v>
      </c>
      <c r="B91" s="312">
        <v>1</v>
      </c>
      <c r="C91" s="393">
        <v>1</v>
      </c>
      <c r="D91" s="319">
        <v>37449415</v>
      </c>
      <c r="E91" s="320">
        <f>IF(ISBLANK(D91),"-",$D$101/$D$98*D91)</f>
        <v>38774882.998586722</v>
      </c>
      <c r="F91" s="319">
        <v>35694033</v>
      </c>
      <c r="G91" s="321">
        <f>IF(ISBLANK(F91),"-",$D$101/$F$98*F91)</f>
        <v>39147271.030482769</v>
      </c>
      <c r="I91" s="322"/>
    </row>
    <row r="92" spans="1:12" ht="26.25" customHeight="1" x14ac:dyDescent="0.4">
      <c r="A92" s="311" t="s">
        <v>67</v>
      </c>
      <c r="B92" s="312">
        <v>1</v>
      </c>
      <c r="C92" s="378">
        <v>2</v>
      </c>
      <c r="D92" s="324">
        <v>37811649</v>
      </c>
      <c r="E92" s="325">
        <f>IF(ISBLANK(D92),"-",$D$101/$D$98*D92)</f>
        <v>39149937.748256639</v>
      </c>
      <c r="F92" s="324">
        <v>35996732</v>
      </c>
      <c r="G92" s="326">
        <f>IF(ISBLANK(F92),"-",$D$101/$F$98*F92)</f>
        <v>39479254.804735906</v>
      </c>
      <c r="I92" s="502">
        <f>ABS((F96/D96*D95)-F95)/D95</f>
        <v>8.161633214341376E-3</v>
      </c>
    </row>
    <row r="93" spans="1:12" ht="26.25" customHeight="1" x14ac:dyDescent="0.4">
      <c r="A93" s="311" t="s">
        <v>68</v>
      </c>
      <c r="B93" s="312">
        <v>1</v>
      </c>
      <c r="C93" s="378">
        <v>3</v>
      </c>
      <c r="D93" s="324">
        <v>37680624</v>
      </c>
      <c r="E93" s="325">
        <f>IF(ISBLANK(D93),"-",$D$101/$D$98*D93)</f>
        <v>39014275.307471119</v>
      </c>
      <c r="F93" s="324">
        <v>35854751</v>
      </c>
      <c r="G93" s="326">
        <f>IF(ISBLANK(F93),"-",$D$101/$F$98*F93)</f>
        <v>39323537.778078288</v>
      </c>
      <c r="I93" s="502"/>
    </row>
    <row r="94" spans="1:12" ht="27" customHeight="1" x14ac:dyDescent="0.4">
      <c r="A94" s="311" t="s">
        <v>69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">
      <c r="A95" s="311" t="s">
        <v>70</v>
      </c>
      <c r="B95" s="312">
        <v>1</v>
      </c>
      <c r="C95" s="396" t="s">
        <v>71</v>
      </c>
      <c r="D95" s="397">
        <f>AVERAGE(D91:D94)</f>
        <v>37647229.333333336</v>
      </c>
      <c r="E95" s="335">
        <f>AVERAGE(E91:E94)</f>
        <v>38979698.684771501</v>
      </c>
      <c r="F95" s="398">
        <f>AVERAGE(F91:F94)</f>
        <v>35848505.333333336</v>
      </c>
      <c r="G95" s="399">
        <f>AVERAGE(G91:G94)</f>
        <v>39316687.871098988</v>
      </c>
    </row>
    <row r="96" spans="1:12" ht="26.25" customHeight="1" x14ac:dyDescent="0.4">
      <c r="A96" s="311" t="s">
        <v>72</v>
      </c>
      <c r="B96" s="297">
        <v>1</v>
      </c>
      <c r="C96" s="400" t="s">
        <v>113</v>
      </c>
      <c r="D96" s="401">
        <v>17.34</v>
      </c>
      <c r="E96" s="327"/>
      <c r="F96" s="339">
        <v>16.37</v>
      </c>
    </row>
    <row r="97" spans="1:10" ht="26.25" customHeight="1" x14ac:dyDescent="0.4">
      <c r="A97" s="311" t="s">
        <v>74</v>
      </c>
      <c r="B97" s="297">
        <v>1</v>
      </c>
      <c r="C97" s="402" t="s">
        <v>114</v>
      </c>
      <c r="D97" s="403">
        <f>D96*$B$87</f>
        <v>17.34</v>
      </c>
      <c r="E97" s="342"/>
      <c r="F97" s="341">
        <f>F96*$B$87</f>
        <v>16.37</v>
      </c>
    </row>
    <row r="98" spans="1:10" ht="19.5" customHeight="1" x14ac:dyDescent="0.3">
      <c r="A98" s="311" t="s">
        <v>76</v>
      </c>
      <c r="B98" s="404">
        <f>(B97/B96)*(B95/B94)*(B93/B92)*(B91/B90)*B89</f>
        <v>100</v>
      </c>
      <c r="C98" s="402" t="s">
        <v>115</v>
      </c>
      <c r="D98" s="405">
        <f>D97*$B$83/100</f>
        <v>17.170068000000001</v>
      </c>
      <c r="E98" s="345"/>
      <c r="F98" s="344">
        <f>F97*$B$83/100</f>
        <v>16.209574</v>
      </c>
    </row>
    <row r="99" spans="1:10" ht="19.5" customHeight="1" x14ac:dyDescent="0.3">
      <c r="A99" s="503" t="s">
        <v>78</v>
      </c>
      <c r="B99" s="517"/>
      <c r="C99" s="402" t="s">
        <v>116</v>
      </c>
      <c r="D99" s="406">
        <f>D98/$B$98</f>
        <v>0.17170067999999999</v>
      </c>
      <c r="E99" s="345"/>
      <c r="F99" s="348">
        <f>F98/$B$98</f>
        <v>0.16209573999999999</v>
      </c>
      <c r="G99" s="407"/>
      <c r="H99" s="337"/>
    </row>
    <row r="100" spans="1:10" ht="19.5" customHeight="1" x14ac:dyDescent="0.3">
      <c r="A100" s="505"/>
      <c r="B100" s="518"/>
      <c r="C100" s="402" t="s">
        <v>80</v>
      </c>
      <c r="D100" s="408">
        <f>$B$56/$B$116</f>
        <v>0.17777777777777778</v>
      </c>
      <c r="F100" s="353"/>
      <c r="G100" s="409"/>
      <c r="H100" s="337"/>
    </row>
    <row r="101" spans="1:10" ht="18.75" x14ac:dyDescent="0.3">
      <c r="C101" s="402" t="s">
        <v>81</v>
      </c>
      <c r="D101" s="403">
        <f>D100*$B$98</f>
        <v>17.777777777777779</v>
      </c>
      <c r="F101" s="353"/>
      <c r="G101" s="407"/>
      <c r="H101" s="337"/>
    </row>
    <row r="102" spans="1:10" ht="19.5" customHeight="1" x14ac:dyDescent="0.3">
      <c r="C102" s="410" t="s">
        <v>82</v>
      </c>
      <c r="D102" s="411">
        <f>D101/B34</f>
        <v>17.777777777777779</v>
      </c>
      <c r="F102" s="357"/>
      <c r="G102" s="407"/>
      <c r="H102" s="337"/>
      <c r="J102" s="412"/>
    </row>
    <row r="103" spans="1:10" ht="18.75" x14ac:dyDescent="0.3">
      <c r="C103" s="413" t="s">
        <v>117</v>
      </c>
      <c r="D103" s="414">
        <f>AVERAGE(E91:E94,G91:G94)</f>
        <v>39148193.277935244</v>
      </c>
      <c r="F103" s="357"/>
      <c r="G103" s="415"/>
      <c r="H103" s="337"/>
      <c r="J103" s="416"/>
    </row>
    <row r="104" spans="1:10" ht="18.75" x14ac:dyDescent="0.3">
      <c r="C104" s="380" t="s">
        <v>84</v>
      </c>
      <c r="D104" s="417">
        <f>STDEV(E91:E94,G91:G94)/D103</f>
        <v>6.2323700696267281E-3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6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118</v>
      </c>
      <c r="B107" s="310">
        <v>900</v>
      </c>
      <c r="C107" s="457" t="s">
        <v>119</v>
      </c>
      <c r="D107" s="457" t="s">
        <v>63</v>
      </c>
      <c r="E107" s="457" t="s">
        <v>120</v>
      </c>
      <c r="F107" s="419" t="s">
        <v>121</v>
      </c>
    </row>
    <row r="108" spans="1:10" ht="26.25" customHeight="1" x14ac:dyDescent="0.4">
      <c r="A108" s="311" t="s">
        <v>122</v>
      </c>
      <c r="B108" s="312">
        <v>4</v>
      </c>
      <c r="C108" s="462">
        <v>1</v>
      </c>
      <c r="D108" s="463">
        <v>31654398</v>
      </c>
      <c r="E108" s="437">
        <f t="shared" ref="E108:E113" si="1">IF(ISBLANK(D108),"-",D108/$D$103*$D$100*$B$116)</f>
        <v>646.86301664585062</v>
      </c>
      <c r="F108" s="464">
        <f t="shared" ref="F108:F113" si="2">IF(ISBLANK(D108), "-", (E108/$B$56)*100)</f>
        <v>80.857877080731328</v>
      </c>
    </row>
    <row r="109" spans="1:10" ht="26.25" customHeight="1" x14ac:dyDescent="0.4">
      <c r="A109" s="311" t="s">
        <v>95</v>
      </c>
      <c r="B109" s="312">
        <v>20</v>
      </c>
      <c r="C109" s="458">
        <v>2</v>
      </c>
      <c r="D109" s="460">
        <v>39687037</v>
      </c>
      <c r="E109" s="438">
        <f t="shared" si="1"/>
        <v>811.01136327266397</v>
      </c>
      <c r="F109" s="465">
        <f t="shared" si="2"/>
        <v>101.376420409083</v>
      </c>
    </row>
    <row r="110" spans="1:10" ht="26.25" customHeight="1" x14ac:dyDescent="0.4">
      <c r="A110" s="311" t="s">
        <v>96</v>
      </c>
      <c r="B110" s="312">
        <v>1</v>
      </c>
      <c r="C110" s="458">
        <v>3</v>
      </c>
      <c r="D110" s="460">
        <v>31949795</v>
      </c>
      <c r="E110" s="438">
        <f t="shared" si="1"/>
        <v>652.89950467282654</v>
      </c>
      <c r="F110" s="465">
        <f t="shared" si="2"/>
        <v>81.612438084103317</v>
      </c>
    </row>
    <row r="111" spans="1:10" ht="26.25" customHeight="1" x14ac:dyDescent="0.4">
      <c r="A111" s="311" t="s">
        <v>97</v>
      </c>
      <c r="B111" s="312">
        <v>1</v>
      </c>
      <c r="C111" s="458">
        <v>4</v>
      </c>
      <c r="D111" s="460">
        <v>39014949</v>
      </c>
      <c r="E111" s="438">
        <f t="shared" si="1"/>
        <v>797.277130477225</v>
      </c>
      <c r="F111" s="465">
        <f t="shared" si="2"/>
        <v>99.659641309653125</v>
      </c>
    </row>
    <row r="112" spans="1:10" ht="26.25" customHeight="1" x14ac:dyDescent="0.4">
      <c r="A112" s="311" t="s">
        <v>98</v>
      </c>
      <c r="B112" s="312">
        <v>1</v>
      </c>
      <c r="C112" s="458">
        <v>5</v>
      </c>
      <c r="D112" s="460">
        <v>31790981</v>
      </c>
      <c r="E112" s="438">
        <f t="shared" si="1"/>
        <v>649.65411352289561</v>
      </c>
      <c r="F112" s="465">
        <f t="shared" si="2"/>
        <v>81.206764190361952</v>
      </c>
    </row>
    <row r="113" spans="1:10" ht="27" customHeight="1" x14ac:dyDescent="0.4">
      <c r="A113" s="311" t="s">
        <v>100</v>
      </c>
      <c r="B113" s="312">
        <v>1</v>
      </c>
      <c r="C113" s="459">
        <v>6</v>
      </c>
      <c r="D113" s="461">
        <v>39411017</v>
      </c>
      <c r="E113" s="439">
        <f t="shared" si="1"/>
        <v>805.37084754228783</v>
      </c>
      <c r="F113" s="466">
        <f t="shared" si="2"/>
        <v>100.67135594278598</v>
      </c>
    </row>
    <row r="114" spans="1:10" ht="27" customHeight="1" x14ac:dyDescent="0.4">
      <c r="A114" s="311" t="s">
        <v>101</v>
      </c>
      <c r="B114" s="312">
        <v>1</v>
      </c>
      <c r="C114" s="420"/>
      <c r="D114" s="378"/>
      <c r="E114" s="285"/>
      <c r="F114" s="467"/>
    </row>
    <row r="115" spans="1:10" ht="26.25" customHeight="1" x14ac:dyDescent="0.4">
      <c r="A115" s="311" t="s">
        <v>102</v>
      </c>
      <c r="B115" s="312">
        <v>1</v>
      </c>
      <c r="C115" s="420"/>
      <c r="D115" s="444" t="s">
        <v>71</v>
      </c>
      <c r="E115" s="446">
        <f>AVERAGE(E108:E113)</f>
        <v>727.17932935562487</v>
      </c>
      <c r="F115" s="468">
        <f>AVERAGE(F108:F113)</f>
        <v>90.897416169453109</v>
      </c>
    </row>
    <row r="116" spans="1:10" ht="27" customHeight="1" x14ac:dyDescent="0.4">
      <c r="A116" s="311" t="s">
        <v>103</v>
      </c>
      <c r="B116" s="343">
        <f>(B115/B114)*(B113/B112)*(B111/B110)*(B109/B108)*B107</f>
        <v>4500</v>
      </c>
      <c r="C116" s="421"/>
      <c r="D116" s="445" t="s">
        <v>84</v>
      </c>
      <c r="E116" s="443">
        <f>STDEV(E108:E113)/E115</f>
        <v>0.11674234808786391</v>
      </c>
      <c r="F116" s="422">
        <f>STDEV(F108:F113)/F115</f>
        <v>0.11674234808786391</v>
      </c>
      <c r="I116" s="285"/>
    </row>
    <row r="117" spans="1:10" ht="27" customHeight="1" x14ac:dyDescent="0.4">
      <c r="A117" s="503" t="s">
        <v>78</v>
      </c>
      <c r="B117" s="504"/>
      <c r="C117" s="423"/>
      <c r="D117" s="382" t="s">
        <v>20</v>
      </c>
      <c r="E117" s="448">
        <f>COUNT(E108:E113)</f>
        <v>6</v>
      </c>
      <c r="F117" s="449">
        <f>COUNT(F108:F113)</f>
        <v>6</v>
      </c>
      <c r="I117" s="285"/>
      <c r="J117" s="416"/>
    </row>
    <row r="118" spans="1:10" ht="26.25" customHeight="1" x14ac:dyDescent="0.3">
      <c r="A118" s="505"/>
      <c r="B118" s="506"/>
      <c r="C118" s="285"/>
      <c r="D118" s="447"/>
      <c r="E118" s="483" t="s">
        <v>123</v>
      </c>
      <c r="F118" s="484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124</v>
      </c>
      <c r="E119" s="450">
        <f>MIN(E108:E113)</f>
        <v>646.86301664585062</v>
      </c>
      <c r="F119" s="469">
        <f>MIN(F108:F113)</f>
        <v>80.857877080731328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125</v>
      </c>
      <c r="E120" s="451">
        <f>MAX(E108:E113)</f>
        <v>811.01136327266397</v>
      </c>
      <c r="F120" s="470">
        <f>MAX(F108:F113)</f>
        <v>101.376420409083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106</v>
      </c>
      <c r="B124" s="384" t="s">
        <v>126</v>
      </c>
      <c r="C124" s="515" t="str">
        <f>B26</f>
        <v>SULFAMETHOXAZOLE</v>
      </c>
      <c r="D124" s="515"/>
      <c r="E124" s="385" t="s">
        <v>127</v>
      </c>
      <c r="F124" s="385"/>
      <c r="G124" s="471">
        <f>F115</f>
        <v>90.897416169453109</v>
      </c>
      <c r="H124" s="285"/>
      <c r="I124" s="285"/>
    </row>
    <row r="125" spans="1:10" ht="45.75" customHeight="1" x14ac:dyDescent="0.65">
      <c r="A125" s="295"/>
      <c r="B125" s="384" t="s">
        <v>128</v>
      </c>
      <c r="C125" s="296" t="s">
        <v>129</v>
      </c>
      <c r="D125" s="471">
        <f>MIN(F108:F113)</f>
        <v>80.857877080731328</v>
      </c>
      <c r="E125" s="396" t="s">
        <v>130</v>
      </c>
      <c r="F125" s="471">
        <f>MAX(F108:F113)</f>
        <v>101.376420409083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516" t="s">
        <v>26</v>
      </c>
      <c r="C127" s="516"/>
      <c r="E127" s="391" t="s">
        <v>27</v>
      </c>
      <c r="F127" s="426"/>
      <c r="G127" s="516" t="s">
        <v>28</v>
      </c>
      <c r="H127" s="516"/>
    </row>
    <row r="128" spans="1:10" ht="69.95" customHeight="1" x14ac:dyDescent="0.3">
      <c r="A128" s="427" t="s">
        <v>29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30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8" workbookViewId="0">
      <selection activeCell="C28" sqref="C28"/>
    </sheetView>
  </sheetViews>
  <sheetFormatPr defaultRowHeight="13.5" x14ac:dyDescent="0.25"/>
  <cols>
    <col min="1" max="1" width="27.5703125" style="407" customWidth="1"/>
    <col min="2" max="2" width="20.42578125" style="407" customWidth="1"/>
    <col min="3" max="3" width="31.85546875" style="407" customWidth="1"/>
    <col min="4" max="4" width="25.85546875" style="407" customWidth="1"/>
    <col min="5" max="5" width="25.7109375" style="407" customWidth="1"/>
    <col min="6" max="6" width="23.140625" style="407" customWidth="1"/>
    <col min="7" max="7" width="28.42578125" style="407" customWidth="1"/>
    <col min="8" max="8" width="21.5703125" style="407" customWidth="1"/>
    <col min="9" max="9" width="9.140625" style="407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3" t="s">
        <v>0</v>
      </c>
      <c r="B15" s="473"/>
      <c r="C15" s="473"/>
      <c r="D15" s="473"/>
      <c r="E15" s="473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2"/>
    </row>
    <row r="18" spans="1:5" ht="16.5" customHeight="1" x14ac:dyDescent="0.3">
      <c r="A18" s="75" t="s">
        <v>4</v>
      </c>
      <c r="B18" s="8" t="s">
        <v>136</v>
      </c>
      <c r="C18" s="72"/>
      <c r="D18" s="72"/>
      <c r="E18" s="72"/>
    </row>
    <row r="19" spans="1:5" ht="16.5" customHeight="1" x14ac:dyDescent="0.3">
      <c r="A19" s="75" t="s">
        <v>6</v>
      </c>
      <c r="B19" s="12">
        <v>99.7</v>
      </c>
      <c r="C19" s="72"/>
      <c r="D19" s="72"/>
      <c r="E19" s="72"/>
    </row>
    <row r="20" spans="1:5" ht="16.5" customHeight="1" x14ac:dyDescent="0.3">
      <c r="A20" s="8" t="s">
        <v>8</v>
      </c>
      <c r="B20" s="12">
        <v>20.77</v>
      </c>
      <c r="C20" s="72"/>
      <c r="D20" s="72"/>
      <c r="E20" s="72"/>
    </row>
    <row r="21" spans="1:5" ht="16.5" customHeight="1" x14ac:dyDescent="0.3">
      <c r="A21" s="8" t="s">
        <v>10</v>
      </c>
      <c r="B21" s="13">
        <f>20.77/25*4/100</f>
        <v>3.3231999999999998E-2</v>
      </c>
      <c r="C21" s="72"/>
      <c r="D21" s="72"/>
      <c r="E21" s="72"/>
    </row>
    <row r="22" spans="1:5" ht="15.75" customHeight="1" x14ac:dyDescent="0.25">
      <c r="A22" s="72"/>
      <c r="B22" s="72" t="s">
        <v>138</v>
      </c>
      <c r="C22" s="72"/>
      <c r="D22" s="72"/>
      <c r="E22" s="72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2468043</v>
      </c>
      <c r="C24" s="18">
        <v>8824.2000000000007</v>
      </c>
      <c r="D24" s="19">
        <v>1.1000000000000001</v>
      </c>
      <c r="E24" s="20">
        <v>5.2</v>
      </c>
    </row>
    <row r="25" spans="1:5" ht="16.5" customHeight="1" x14ac:dyDescent="0.3">
      <c r="A25" s="17">
        <v>2</v>
      </c>
      <c r="B25" s="18">
        <v>2447916</v>
      </c>
      <c r="C25" s="18">
        <v>8845.4</v>
      </c>
      <c r="D25" s="19">
        <v>1.1000000000000001</v>
      </c>
      <c r="E25" s="19">
        <v>5.2</v>
      </c>
    </row>
    <row r="26" spans="1:5" ht="16.5" customHeight="1" x14ac:dyDescent="0.3">
      <c r="A26" s="17">
        <v>3</v>
      </c>
      <c r="B26" s="18">
        <v>2445233</v>
      </c>
      <c r="C26" s="18">
        <v>8847.6</v>
      </c>
      <c r="D26" s="19">
        <v>1.1000000000000001</v>
      </c>
      <c r="E26" s="19">
        <v>5.2</v>
      </c>
    </row>
    <row r="27" spans="1:5" ht="16.5" customHeight="1" x14ac:dyDescent="0.3">
      <c r="A27" s="17">
        <v>4</v>
      </c>
      <c r="B27" s="18">
        <v>2456617</v>
      </c>
      <c r="C27" s="18">
        <v>8828.4</v>
      </c>
      <c r="D27" s="19">
        <v>1.2</v>
      </c>
      <c r="E27" s="19">
        <v>5.2</v>
      </c>
    </row>
    <row r="28" spans="1:5" ht="16.5" customHeight="1" x14ac:dyDescent="0.3">
      <c r="A28" s="17">
        <v>5</v>
      </c>
      <c r="B28" s="18">
        <v>2437625</v>
      </c>
      <c r="C28" s="18">
        <v>8871.6</v>
      </c>
      <c r="D28" s="19">
        <v>1.1000000000000001</v>
      </c>
      <c r="E28" s="19">
        <v>5.2</v>
      </c>
    </row>
    <row r="29" spans="1:5" ht="16.5" customHeight="1" x14ac:dyDescent="0.3">
      <c r="A29" s="17">
        <v>6</v>
      </c>
      <c r="B29" s="21">
        <v>2461660</v>
      </c>
      <c r="C29" s="21">
        <v>8867.9</v>
      </c>
      <c r="D29" s="22">
        <v>1.1000000000000001</v>
      </c>
      <c r="E29" s="22">
        <v>5.2</v>
      </c>
    </row>
    <row r="30" spans="1:5" ht="16.5" customHeight="1" x14ac:dyDescent="0.3">
      <c r="A30" s="23" t="s">
        <v>18</v>
      </c>
      <c r="B30" s="24">
        <f>AVERAGE(B24:B29)</f>
        <v>2452849</v>
      </c>
      <c r="C30" s="25">
        <f>AVERAGE(C24:C29)</f>
        <v>8847.5166666666664</v>
      </c>
      <c r="D30" s="26">
        <f>AVERAGE(D24:D29)</f>
        <v>1.1166666666666665</v>
      </c>
      <c r="E30" s="26">
        <f>AVERAGE(E24:E29)</f>
        <v>5.2</v>
      </c>
    </row>
    <row r="31" spans="1:5" ht="16.5" customHeight="1" x14ac:dyDescent="0.3">
      <c r="A31" s="27" t="s">
        <v>19</v>
      </c>
      <c r="B31" s="28">
        <f>(STDEV(B24:B29)/B30)</f>
        <v>4.6009211642007919E-3</v>
      </c>
      <c r="C31" s="29"/>
      <c r="D31" s="29"/>
      <c r="E31" s="30"/>
    </row>
    <row r="32" spans="1:5" s="407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07" customFormat="1" ht="15.75" customHeight="1" x14ac:dyDescent="0.25">
      <c r="A33" s="72"/>
      <c r="B33" s="72"/>
      <c r="C33" s="72"/>
      <c r="D33" s="72"/>
      <c r="E33" s="72"/>
    </row>
    <row r="34" spans="1:5" s="407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07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07" customFormat="1" ht="15.75" customHeight="1" x14ac:dyDescent="0.25">
      <c r="A54" s="72"/>
      <c r="B54" s="72"/>
      <c r="C54" s="72"/>
      <c r="D54" s="72"/>
      <c r="E54" s="72"/>
    </row>
    <row r="55" spans="1:7" s="407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37"/>
      <c r="D58" s="43"/>
      <c r="F58" s="44"/>
      <c r="G58" s="44"/>
    </row>
    <row r="59" spans="1:7" ht="15" customHeight="1" x14ac:dyDescent="0.3">
      <c r="B59" s="474" t="s">
        <v>26</v>
      </c>
      <c r="C59" s="47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SULFA</vt:lpstr>
      <vt:lpstr>Uniformity</vt:lpstr>
      <vt:lpstr>trimethoprim</vt:lpstr>
      <vt:lpstr>sulfamethoxazole</vt:lpstr>
      <vt:lpstr>SST TRIM</vt:lpstr>
      <vt:lpstr>sulfamethoxazole!Print_Area</vt:lpstr>
      <vt:lpstr>trimethoprim!Print_Area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2018-04-26T07:07:46Z</cp:lastPrinted>
  <dcterms:created xsi:type="dcterms:W3CDTF">2005-07-05T10:19:27Z</dcterms:created>
  <dcterms:modified xsi:type="dcterms:W3CDTF">2018-05-02T15:57:03Z</dcterms:modified>
</cp:coreProperties>
</file>