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8640"/>
  </bookViews>
  <sheets>
    <sheet name="SST LAMIVUDINE" sheetId="1" r:id="rId1"/>
    <sheet name="Uniformity" sheetId="2" r:id="rId2"/>
    <sheet name="Tenofovir Disoproxil Fumurate" sheetId="3" r:id="rId3"/>
    <sheet name="Lamivudine" sheetId="4" r:id="rId4"/>
    <sheet name="SST TDF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30" i="5"/>
  <c r="B31" i="5" s="1"/>
  <c r="B53" i="5"/>
  <c r="E51" i="5"/>
  <c r="D51" i="5"/>
  <c r="C51" i="5"/>
  <c r="B51" i="5"/>
  <c r="B52" i="5" s="1"/>
  <c r="B32" i="5"/>
  <c r="E30" i="5"/>
  <c r="D30" i="5"/>
  <c r="C30" i="5"/>
  <c r="B21" i="5"/>
  <c r="B42" i="1"/>
  <c r="D68" i="4"/>
  <c r="D64" i="4"/>
  <c r="D60" i="4"/>
  <c r="B21" i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I92" i="4"/>
  <c r="I39" i="4"/>
  <c r="I39" i="3"/>
  <c r="D101" i="4"/>
  <c r="D102" i="4" s="1"/>
  <c r="D44" i="4"/>
  <c r="D45" i="4" s="1"/>
  <c r="E39" i="4" s="1"/>
  <c r="F45" i="4"/>
  <c r="G40" i="4" s="1"/>
  <c r="F98" i="4"/>
  <c r="F99" i="4" s="1"/>
  <c r="D101" i="3"/>
  <c r="D49" i="3"/>
  <c r="D102" i="3"/>
  <c r="D45" i="3"/>
  <c r="E39" i="3" s="1"/>
  <c r="F98" i="3"/>
  <c r="F99" i="3" s="1"/>
  <c r="G91" i="3"/>
  <c r="D98" i="3"/>
  <c r="E91" i="3" s="1"/>
  <c r="B69" i="4"/>
  <c r="G91" i="4"/>
  <c r="D27" i="2"/>
  <c r="D31" i="2"/>
  <c r="D35" i="2"/>
  <c r="D39" i="2"/>
  <c r="D43" i="2"/>
  <c r="C49" i="2"/>
  <c r="F44" i="3"/>
  <c r="F45" i="3" s="1"/>
  <c r="G39" i="3" s="1"/>
  <c r="G92" i="3"/>
  <c r="E94" i="3"/>
  <c r="D97" i="4"/>
  <c r="D98" i="4" s="1"/>
  <c r="D99" i="4" s="1"/>
  <c r="D24" i="2"/>
  <c r="D28" i="2"/>
  <c r="D32" i="2"/>
  <c r="D36" i="2"/>
  <c r="D40" i="2"/>
  <c r="D49" i="2"/>
  <c r="B57" i="3"/>
  <c r="B69" i="3" s="1"/>
  <c r="G94" i="3"/>
  <c r="D49" i="4"/>
  <c r="D29" i="2"/>
  <c r="D33" i="2"/>
  <c r="D37" i="2"/>
  <c r="D41" i="2"/>
  <c r="C50" i="2"/>
  <c r="D26" i="2"/>
  <c r="D30" i="2"/>
  <c r="D34" i="2"/>
  <c r="D38" i="2"/>
  <c r="D42" i="2"/>
  <c r="B49" i="2"/>
  <c r="D50" i="2"/>
  <c r="E92" i="3"/>
  <c r="G39" i="4" l="1"/>
  <c r="F46" i="4"/>
  <c r="G94" i="4"/>
  <c r="G93" i="4"/>
  <c r="G92" i="4"/>
  <c r="G41" i="4"/>
  <c r="E38" i="4"/>
  <c r="D46" i="4"/>
  <c r="E41" i="4"/>
  <c r="E40" i="4"/>
  <c r="E92" i="4"/>
  <c r="E94" i="4"/>
  <c r="E91" i="4"/>
  <c r="G38" i="4"/>
  <c r="E93" i="4"/>
  <c r="D46" i="3"/>
  <c r="E40" i="3"/>
  <c r="G38" i="3"/>
  <c r="E38" i="3"/>
  <c r="G93" i="3"/>
  <c r="G95" i="3" s="1"/>
  <c r="E41" i="3"/>
  <c r="D99" i="3"/>
  <c r="E93" i="3"/>
  <c r="E95" i="3" s="1"/>
  <c r="G41" i="3"/>
  <c r="F46" i="3"/>
  <c r="G40" i="3"/>
  <c r="G95" i="4" l="1"/>
  <c r="E42" i="3"/>
  <c r="D103" i="4"/>
  <c r="E111" i="4" s="1"/>
  <c r="F111" i="4" s="1"/>
  <c r="D52" i="4"/>
  <c r="G42" i="4"/>
  <c r="D50" i="4"/>
  <c r="G67" i="4" s="1"/>
  <c r="H67" i="4" s="1"/>
  <c r="E42" i="4"/>
  <c r="D105" i="4"/>
  <c r="E95" i="4"/>
  <c r="D103" i="3"/>
  <c r="E110" i="3" s="1"/>
  <c r="F110" i="3" s="1"/>
  <c r="D52" i="3"/>
  <c r="D50" i="3"/>
  <c r="G71" i="3" s="1"/>
  <c r="H71" i="3" s="1"/>
  <c r="D105" i="3"/>
  <c r="G42" i="3"/>
  <c r="E113" i="4"/>
  <c r="F113" i="4" s="1"/>
  <c r="E112" i="3"/>
  <c r="F112" i="3" s="1"/>
  <c r="E112" i="4" l="1"/>
  <c r="F112" i="4" s="1"/>
  <c r="D104" i="4"/>
  <c r="E108" i="4"/>
  <c r="F108" i="4" s="1"/>
  <c r="E109" i="4"/>
  <c r="F109" i="4" s="1"/>
  <c r="E110" i="4"/>
  <c r="F110" i="4" s="1"/>
  <c r="G66" i="4"/>
  <c r="H66" i="4" s="1"/>
  <c r="G71" i="4"/>
  <c r="H71" i="4" s="1"/>
  <c r="G63" i="4"/>
  <c r="H63" i="4" s="1"/>
  <c r="G60" i="4"/>
  <c r="H60" i="4" s="1"/>
  <c r="G70" i="4"/>
  <c r="H70" i="4" s="1"/>
  <c r="G69" i="4"/>
  <c r="H69" i="4" s="1"/>
  <c r="G65" i="4"/>
  <c r="H65" i="4" s="1"/>
  <c r="G62" i="4"/>
  <c r="H62" i="4" s="1"/>
  <c r="G61" i="4"/>
  <c r="H61" i="4" s="1"/>
  <c r="D51" i="4"/>
  <c r="G64" i="4"/>
  <c r="H64" i="4" s="1"/>
  <c r="G68" i="4"/>
  <c r="H68" i="4" s="1"/>
  <c r="D104" i="3"/>
  <c r="E111" i="3"/>
  <c r="F111" i="3" s="1"/>
  <c r="E113" i="3"/>
  <c r="F113" i="3" s="1"/>
  <c r="E108" i="3"/>
  <c r="E109" i="3"/>
  <c r="F109" i="3" s="1"/>
  <c r="G65" i="3"/>
  <c r="H65" i="3" s="1"/>
  <c r="G70" i="3"/>
  <c r="H70" i="3" s="1"/>
  <c r="G64" i="3"/>
  <c r="H64" i="3" s="1"/>
  <c r="G66" i="3"/>
  <c r="H66" i="3" s="1"/>
  <c r="G61" i="3"/>
  <c r="H61" i="3" s="1"/>
  <c r="D51" i="3"/>
  <c r="G69" i="3"/>
  <c r="H69" i="3" s="1"/>
  <c r="G63" i="3"/>
  <c r="H63" i="3" s="1"/>
  <c r="G60" i="3"/>
  <c r="H60" i="3" s="1"/>
  <c r="G68" i="3"/>
  <c r="H68" i="3" s="1"/>
  <c r="G67" i="3"/>
  <c r="H67" i="3" s="1"/>
  <c r="G62" i="3"/>
  <c r="H62" i="3" s="1"/>
  <c r="E115" i="4" l="1"/>
  <c r="E116" i="4" s="1"/>
  <c r="E117" i="4"/>
  <c r="E119" i="4"/>
  <c r="E120" i="4"/>
  <c r="G72" i="4"/>
  <c r="G73" i="4" s="1"/>
  <c r="G74" i="4"/>
  <c r="E119" i="3"/>
  <c r="F108" i="3"/>
  <c r="F117" i="3" s="1"/>
  <c r="E117" i="3"/>
  <c r="E115" i="3"/>
  <c r="E116" i="3" s="1"/>
  <c r="E120" i="3"/>
  <c r="G74" i="3"/>
  <c r="G72" i="3"/>
  <c r="G73" i="3" s="1"/>
  <c r="H74" i="4"/>
  <c r="H72" i="4"/>
  <c r="F125" i="4"/>
  <c r="F120" i="4"/>
  <c r="F117" i="4"/>
  <c r="D125" i="4"/>
  <c r="F115" i="4"/>
  <c r="F119" i="4"/>
  <c r="H74" i="3"/>
  <c r="H72" i="3"/>
  <c r="F119" i="3" l="1"/>
  <c r="D125" i="3"/>
  <c r="F120" i="3"/>
  <c r="F115" i="3"/>
  <c r="G124" i="3" s="1"/>
  <c r="F125" i="3"/>
  <c r="G124" i="4"/>
  <c r="F116" i="4"/>
  <c r="G76" i="4"/>
  <c r="H73" i="4"/>
  <c r="G76" i="3"/>
  <c r="H73" i="3"/>
  <c r="F116" i="3" l="1"/>
</calcChain>
</file>

<file path=xl/sharedStrings.xml><?xml version="1.0" encoding="utf-8"?>
<sst xmlns="http://schemas.openxmlformats.org/spreadsheetml/2006/main" count="454" uniqueCount="136">
  <si>
    <t>HPLC System Suitability Report</t>
  </si>
  <si>
    <t>Analysis Data</t>
  </si>
  <si>
    <t>Assay</t>
  </si>
  <si>
    <t>Sample(s)</t>
  </si>
  <si>
    <t>Reference Substance:</t>
  </si>
  <si>
    <t>TENOFOVIR DISOPROXIL FUMARATE/LAMIVUDINE TABLETS 300   mg/300 mg</t>
  </si>
  <si>
    <t>% age Purity:</t>
  </si>
  <si>
    <t>NDQB201804380</t>
  </si>
  <si>
    <t>Weight (mg):</t>
  </si>
  <si>
    <t xml:space="preserve">Tenofovir Disoproxil Fumarate 300mg, Lamivudine 300mg  </t>
  </si>
  <si>
    <t>Standard Conc (mg/mL):</t>
  </si>
  <si>
    <t>Each film coated tablet contains: TenofovirDisoproxil Fumarate 300 mg and Lamivudine USP 300 mg.</t>
  </si>
  <si>
    <t>2018-04-06 14:05:08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</si>
  <si>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</si>
  <si>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</si>
  <si>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</si>
  <si>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</si>
  <si>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</si>
  <si>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</si>
  <si>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</si>
  <si>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</si>
  <si>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</si>
  <si>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</si>
  <si>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</si>
  <si>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</si>
  <si>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</si>
  <si>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</si>
  <si>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</si>
  <si>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</si>
  <si>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</si>
  <si>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</si>
  <si>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</si>
  <si>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</si>
  <si>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</si>
  <si>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</si>
  <si>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</si>
  <si>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</si>
  <si>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</si>
  <si>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</si>
  <si>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</si>
  <si>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</si>
  <si>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</si>
  <si>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</si>
  <si>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</si>
  <si>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</si>
  <si>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</si>
  <si>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</si>
  <si>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</si>
  <si>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</si>
  <si>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</si>
  <si>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</si>
  <si>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</si>
  <si>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</si>
  <si>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</si>
  <si>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</si>
  <si>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</si>
  <si>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</si>
  <si>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</si>
  <si>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</si>
  <si>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</si>
  <si>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</si>
  <si>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</si>
  <si>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</si>
  <si>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</si>
  <si>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</si>
  <si>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</si>
  <si>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</si>
  <si>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</si>
  <si>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</si>
  <si>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</si>
  <si>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</si>
  <si>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</si>
  <si>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</si>
  <si>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</si>
  <si>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</si>
  <si>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</si>
  <si>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</si>
  <si>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</si>
  <si>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</si>
  <si>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</si>
  <si>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</si>
  <si>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</si>
  <si>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</si>
  <si>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</si>
  <si>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</si>
  <si>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</si>
  <si>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</si>
  <si>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</si>
  <si>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</si>
  <si>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</si>
  <si>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</si>
  <si>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</si>
  <si>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</si>
  <si>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</si>
  <si>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</si>
  <si>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</si>
  <si>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</si>
  <si>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</si>
  <si>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</si>
  <si>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</si>
  <si>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</si>
  <si>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</si>
  <si>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</si>
  <si>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</si>
  <si>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</si>
  <si>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</si>
  <si>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</si>
  <si>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</si>
  <si>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</si>
  <si>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</si>
  <si>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</si>
  <si>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</si>
  <si>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</si>
  <si>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</si>
  <si>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</si>
  <si>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</si>
  <si>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</si>
  <si>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</si>
  <si>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</si>
  <si>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</si>
  <si>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</si>
  <si>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</si>
  <si>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</si>
  <si>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</si>
  <si>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</si>
  <si>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</si>
  <si>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</si>
  <si>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</si>
  <si>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</si>
  <si>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</si>
  <si>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</si>
  <si>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</si>
  <si>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</si>
  <si>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Tenofovir Disoproxil Fumurate</t>
  </si>
  <si>
    <t>T11-10</t>
  </si>
  <si>
    <t>TENOFOVIR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</si>
</sst>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5" workbookViewId="0">
      <selection activeCell="D46" sqref="D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12.37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B20/50*4/10</f>
        <v>9.8959999999999992E-2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24191206</v>
      </c>
      <c r="C24" s="18">
        <v>9076.4</v>
      </c>
      <c r="D24" s="19">
        <v>0.9</v>
      </c>
      <c r="E24" s="20">
        <v>5.5</v>
      </c>
    </row>
    <row r="25" spans="1:6" ht="16.5" customHeight="1" x14ac:dyDescent="0.3">
      <c r="A25" s="17">
        <v>2</v>
      </c>
      <c r="B25" s="18">
        <v>24193900</v>
      </c>
      <c r="C25" s="18">
        <v>9018.7999999999993</v>
      </c>
      <c r="D25" s="19">
        <v>1</v>
      </c>
      <c r="E25" s="19">
        <v>5.4</v>
      </c>
    </row>
    <row r="26" spans="1:6" ht="16.5" customHeight="1" x14ac:dyDescent="0.3">
      <c r="A26" s="17">
        <v>3</v>
      </c>
      <c r="B26" s="18">
        <v>24164824</v>
      </c>
      <c r="C26" s="18">
        <v>9227.6</v>
      </c>
      <c r="D26" s="19">
        <v>1</v>
      </c>
      <c r="E26" s="19">
        <v>5.4</v>
      </c>
    </row>
    <row r="27" spans="1:6" ht="16.5" customHeight="1" x14ac:dyDescent="0.3">
      <c r="A27" s="17">
        <v>4</v>
      </c>
      <c r="B27" s="18">
        <v>24111536</v>
      </c>
      <c r="C27" s="18">
        <v>9148.7000000000007</v>
      </c>
      <c r="D27" s="19">
        <v>1</v>
      </c>
      <c r="E27" s="19">
        <v>5.4</v>
      </c>
    </row>
    <row r="28" spans="1:6" ht="16.5" customHeight="1" x14ac:dyDescent="0.3">
      <c r="A28" s="17">
        <v>5</v>
      </c>
      <c r="B28" s="18">
        <v>23981130</v>
      </c>
      <c r="C28" s="18">
        <v>9291.4</v>
      </c>
      <c r="D28" s="19">
        <v>1</v>
      </c>
      <c r="E28" s="19">
        <v>5.4</v>
      </c>
    </row>
    <row r="29" spans="1:6" ht="16.5" customHeight="1" x14ac:dyDescent="0.3">
      <c r="A29" s="17">
        <v>6</v>
      </c>
      <c r="B29" s="21">
        <v>23705937</v>
      </c>
      <c r="C29" s="21">
        <v>9476.2000000000007</v>
      </c>
      <c r="D29" s="22">
        <v>1</v>
      </c>
      <c r="E29" s="22">
        <v>5.4</v>
      </c>
    </row>
    <row r="30" spans="1:6" ht="16.5" customHeight="1" x14ac:dyDescent="0.3">
      <c r="A30" s="23" t="s">
        <v>18</v>
      </c>
      <c r="B30" s="24">
        <f>AVERAGE(B24:B29)</f>
        <v>24058088.833333332</v>
      </c>
      <c r="C30" s="25">
        <f>AVERAGE(C24:C29)</f>
        <v>9206.5166666666682</v>
      </c>
      <c r="D30" s="26">
        <f>AVERAGE(D24:D29)</f>
        <v>0.98333333333333339</v>
      </c>
      <c r="E30" s="26">
        <f>AVERAGE(E24:E29)</f>
        <v>5.416666666666667</v>
      </c>
    </row>
    <row r="31" spans="1:6" ht="16.5" customHeight="1" x14ac:dyDescent="0.3">
      <c r="A31" s="27" t="s">
        <v>19</v>
      </c>
      <c r="B31" s="28">
        <f>(STDEV(B24:B29)/B30)</f>
        <v>7.8942130981861577E-3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99.39</v>
      </c>
      <c r="C40" s="10"/>
      <c r="D40" s="10"/>
      <c r="E40" s="10"/>
    </row>
    <row r="41" spans="1:6" ht="16.5" customHeight="1" x14ac:dyDescent="0.3">
      <c r="A41" s="7" t="s">
        <v>8</v>
      </c>
      <c r="B41" s="12">
        <v>12.37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0.24739999999999998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3433077</v>
      </c>
      <c r="C45" s="18">
        <v>1627</v>
      </c>
      <c r="D45" s="19">
        <v>0.97</v>
      </c>
      <c r="E45" s="20">
        <v>2.7</v>
      </c>
    </row>
    <row r="46" spans="1:6" ht="16.5" customHeight="1" x14ac:dyDescent="0.3">
      <c r="A46" s="17">
        <v>2</v>
      </c>
      <c r="B46" s="18">
        <v>3442981</v>
      </c>
      <c r="C46" s="18">
        <v>1644</v>
      </c>
      <c r="D46" s="19">
        <v>0.97</v>
      </c>
      <c r="E46" s="19">
        <v>2.69</v>
      </c>
    </row>
    <row r="47" spans="1:6" ht="16.5" customHeight="1" x14ac:dyDescent="0.3">
      <c r="A47" s="17">
        <v>3</v>
      </c>
      <c r="B47" s="18">
        <v>3447641</v>
      </c>
      <c r="C47" s="18">
        <v>1634</v>
      </c>
      <c r="D47" s="19">
        <v>0.99</v>
      </c>
      <c r="E47" s="19">
        <v>2.69</v>
      </c>
    </row>
    <row r="48" spans="1:6" ht="16.5" customHeight="1" x14ac:dyDescent="0.3">
      <c r="A48" s="17">
        <v>4</v>
      </c>
      <c r="B48" s="18">
        <v>3431428</v>
      </c>
      <c r="C48" s="18">
        <v>1601</v>
      </c>
      <c r="D48" s="19">
        <v>0.98</v>
      </c>
      <c r="E48" s="19">
        <v>2.67</v>
      </c>
    </row>
    <row r="49" spans="1:7" ht="16.5" customHeight="1" x14ac:dyDescent="0.3">
      <c r="A49" s="17">
        <v>5</v>
      </c>
      <c r="B49" s="18">
        <v>3428537</v>
      </c>
      <c r="C49" s="18">
        <v>1592</v>
      </c>
      <c r="D49" s="19">
        <v>0.97</v>
      </c>
      <c r="E49" s="19">
        <v>2.67</v>
      </c>
    </row>
    <row r="50" spans="1:7" ht="16.5" customHeight="1" x14ac:dyDescent="0.3">
      <c r="A50" s="17">
        <v>6</v>
      </c>
      <c r="B50" s="21">
        <v>3421636</v>
      </c>
      <c r="C50" s="21">
        <v>1604</v>
      </c>
      <c r="D50" s="22">
        <v>0.96</v>
      </c>
      <c r="E50" s="22">
        <v>2.67</v>
      </c>
    </row>
    <row r="51" spans="1:7" ht="16.5" customHeight="1" x14ac:dyDescent="0.3">
      <c r="A51" s="23" t="s">
        <v>18</v>
      </c>
      <c r="B51" s="24">
        <f>AVERAGE(B45:B50)</f>
        <v>3434216.6666666665</v>
      </c>
      <c r="C51" s="25">
        <f>AVERAGE(C45:C50)</f>
        <v>1617</v>
      </c>
      <c r="D51" s="26">
        <f>AVERAGE(D45:D50)</f>
        <v>0.97333333333333327</v>
      </c>
      <c r="E51" s="26">
        <f>AVERAGE(E45:E50)</f>
        <v>2.6816666666666666</v>
      </c>
    </row>
    <row r="52" spans="1:7" ht="16.5" customHeight="1" x14ac:dyDescent="0.3">
      <c r="A52" s="27" t="s">
        <v>19</v>
      </c>
      <c r="B52" s="28">
        <f>(STDEV(B45:B50)/B51)</f>
        <v>2.7827309372542523E-3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D39" sqref="D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9" t="s">
        <v>31</v>
      </c>
      <c r="B11" s="480"/>
      <c r="C11" s="480"/>
      <c r="D11" s="480"/>
      <c r="E11" s="480"/>
      <c r="F11" s="481"/>
      <c r="G11" s="91"/>
    </row>
    <row r="12" spans="1:7" ht="16.5" customHeight="1" x14ac:dyDescent="0.3">
      <c r="A12" s="478" t="s">
        <v>32</v>
      </c>
      <c r="B12" s="478"/>
      <c r="C12" s="478"/>
      <c r="D12" s="478"/>
      <c r="E12" s="478"/>
      <c r="F12" s="478"/>
      <c r="G12" s="90"/>
    </row>
    <row r="14" spans="1:7" ht="16.5" customHeight="1" x14ac:dyDescent="0.3">
      <c r="A14" s="483" t="s">
        <v>33</v>
      </c>
      <c r="B14" s="483"/>
      <c r="C14" s="60" t="s">
        <v>5</v>
      </c>
    </row>
    <row r="15" spans="1:7" ht="16.5" customHeight="1" x14ac:dyDescent="0.3">
      <c r="A15" s="483" t="s">
        <v>34</v>
      </c>
      <c r="B15" s="483"/>
      <c r="C15" s="60" t="s">
        <v>7</v>
      </c>
    </row>
    <row r="16" spans="1:7" ht="16.5" customHeight="1" x14ac:dyDescent="0.3">
      <c r="A16" s="483" t="s">
        <v>35</v>
      </c>
      <c r="B16" s="483"/>
      <c r="C16" s="60" t="s">
        <v>9</v>
      </c>
    </row>
    <row r="17" spans="1:5" ht="16.5" customHeight="1" x14ac:dyDescent="0.3">
      <c r="A17" s="483" t="s">
        <v>36</v>
      </c>
      <c r="B17" s="483"/>
      <c r="C17" s="60" t="s">
        <v>11</v>
      </c>
    </row>
    <row r="18" spans="1:5" ht="16.5" customHeight="1" x14ac:dyDescent="0.3">
      <c r="A18" s="483" t="s">
        <v>37</v>
      </c>
      <c r="B18" s="483"/>
      <c r="C18" s="97" t="s">
        <v>12</v>
      </c>
    </row>
    <row r="19" spans="1:5" ht="16.5" customHeight="1" x14ac:dyDescent="0.3">
      <c r="A19" s="483" t="s">
        <v>38</v>
      </c>
      <c r="B19" s="48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8" t="s">
        <v>1</v>
      </c>
      <c r="B21" s="478"/>
      <c r="C21" s="59" t="s">
        <v>39</v>
      </c>
      <c r="D21" s="66"/>
    </row>
    <row r="22" spans="1:5" ht="15.75" customHeight="1" x14ac:dyDescent="0.3">
      <c r="A22" s="482"/>
      <c r="B22" s="482"/>
      <c r="C22" s="57"/>
      <c r="D22" s="482"/>
      <c r="E22" s="48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1095.79</v>
      </c>
      <c r="D24" s="87">
        <f t="shared" ref="D24:D43" si="0">(C24-$C$46)/$C$46</f>
        <v>-1.0652421905789314E-2</v>
      </c>
      <c r="E24" s="53"/>
    </row>
    <row r="25" spans="1:5" ht="15.75" customHeight="1" x14ac:dyDescent="0.3">
      <c r="C25" s="95">
        <v>1127.43</v>
      </c>
      <c r="D25" s="88">
        <f t="shared" si="0"/>
        <v>1.7914144106768681E-2</v>
      </c>
      <c r="E25" s="53"/>
    </row>
    <row r="26" spans="1:5" ht="15.75" customHeight="1" x14ac:dyDescent="0.3">
      <c r="C26" s="95">
        <v>1118.3599999999999</v>
      </c>
      <c r="D26" s="88">
        <f t="shared" si="0"/>
        <v>9.725182231487238E-3</v>
      </c>
      <c r="E26" s="53"/>
    </row>
    <row r="27" spans="1:5" ht="15.75" customHeight="1" x14ac:dyDescent="0.3">
      <c r="C27" s="95">
        <v>1081.03</v>
      </c>
      <c r="D27" s="88">
        <f t="shared" si="0"/>
        <v>-2.3978670778904181E-2</v>
      </c>
      <c r="E27" s="53"/>
    </row>
    <row r="28" spans="1:5" ht="15.75" customHeight="1" x14ac:dyDescent="0.3">
      <c r="C28" s="95">
        <v>1124.1500000000001</v>
      </c>
      <c r="D28" s="88">
        <f t="shared" si="0"/>
        <v>1.4952755468298733E-2</v>
      </c>
      <c r="E28" s="53"/>
    </row>
    <row r="29" spans="1:5" ht="15.75" customHeight="1" x14ac:dyDescent="0.3">
      <c r="C29" s="95">
        <v>1112.6199999999999</v>
      </c>
      <c r="D29" s="88">
        <f t="shared" si="0"/>
        <v>4.5427521141647781E-3</v>
      </c>
      <c r="E29" s="53"/>
    </row>
    <row r="30" spans="1:5" ht="15.75" customHeight="1" x14ac:dyDescent="0.3">
      <c r="C30" s="95">
        <v>1104.3900000000001</v>
      </c>
      <c r="D30" s="88">
        <f t="shared" si="0"/>
        <v>-2.8878053537032878E-3</v>
      </c>
      <c r="E30" s="53"/>
    </row>
    <row r="31" spans="1:5" ht="15.75" customHeight="1" x14ac:dyDescent="0.3">
      <c r="C31" s="95">
        <v>1109.79</v>
      </c>
      <c r="D31" s="88">
        <f t="shared" si="0"/>
        <v>1.9876515510947146E-3</v>
      </c>
      <c r="E31" s="53"/>
    </row>
    <row r="32" spans="1:5" ht="15.75" customHeight="1" x14ac:dyDescent="0.3">
      <c r="C32" s="95">
        <v>1105.27</v>
      </c>
      <c r="D32" s="88">
        <f t="shared" si="0"/>
        <v>-2.0932864506992555E-3</v>
      </c>
      <c r="E32" s="53"/>
    </row>
    <row r="33" spans="1:7" ht="15.75" customHeight="1" x14ac:dyDescent="0.3">
      <c r="C33" s="95">
        <v>1087.69</v>
      </c>
      <c r="D33" s="88">
        <f t="shared" si="0"/>
        <v>-1.7965607262986419E-2</v>
      </c>
      <c r="E33" s="53"/>
    </row>
    <row r="34" spans="1:7" ht="15.75" customHeight="1" x14ac:dyDescent="0.3">
      <c r="C34" s="95">
        <v>1114.28</v>
      </c>
      <c r="D34" s="88">
        <f t="shared" si="0"/>
        <v>6.0415036811953867E-3</v>
      </c>
      <c r="E34" s="53"/>
    </row>
    <row r="35" spans="1:7" ht="15.75" customHeight="1" x14ac:dyDescent="0.3">
      <c r="C35" s="95">
        <v>1090.74</v>
      </c>
      <c r="D35" s="88">
        <f t="shared" si="0"/>
        <v>-1.5211876974165298E-2</v>
      </c>
      <c r="E35" s="53"/>
    </row>
    <row r="36" spans="1:7" ht="15.75" customHeight="1" x14ac:dyDescent="0.3">
      <c r="C36" s="95">
        <v>1102.9000000000001</v>
      </c>
      <c r="D36" s="88">
        <f t="shared" si="0"/>
        <v>-4.2330703144716677E-3</v>
      </c>
      <c r="E36" s="53"/>
    </row>
    <row r="37" spans="1:7" ht="15.75" customHeight="1" x14ac:dyDescent="0.3">
      <c r="C37" s="95">
        <v>1085.3399999999999</v>
      </c>
      <c r="D37" s="88">
        <f t="shared" si="0"/>
        <v>-2.0087333878963505E-2</v>
      </c>
      <c r="E37" s="53"/>
    </row>
    <row r="38" spans="1:7" ht="15.75" customHeight="1" x14ac:dyDescent="0.3">
      <c r="C38" s="95">
        <v>1113.45</v>
      </c>
      <c r="D38" s="88">
        <f t="shared" si="0"/>
        <v>5.2921278976801843E-3</v>
      </c>
      <c r="E38" s="53"/>
    </row>
    <row r="39" spans="1:7" ht="15.75" customHeight="1" x14ac:dyDescent="0.3">
      <c r="C39" s="95">
        <v>1110.32</v>
      </c>
      <c r="D39" s="88">
        <f t="shared" si="0"/>
        <v>2.4661686176767283E-3</v>
      </c>
      <c r="E39" s="53"/>
    </row>
    <row r="40" spans="1:7" ht="15.75" customHeight="1" x14ac:dyDescent="0.3">
      <c r="C40" s="95">
        <v>1138.3499999999999</v>
      </c>
      <c r="D40" s="88">
        <f t="shared" si="0"/>
        <v>2.7773401403138085E-2</v>
      </c>
      <c r="E40" s="53"/>
    </row>
    <row r="41" spans="1:7" ht="15.75" customHeight="1" x14ac:dyDescent="0.3">
      <c r="C41" s="95">
        <v>1100.95</v>
      </c>
      <c r="D41" s="88">
        <f t="shared" si="0"/>
        <v>-5.9936519745376979E-3</v>
      </c>
      <c r="E41" s="53"/>
    </row>
    <row r="42" spans="1:7" ht="15.75" customHeight="1" x14ac:dyDescent="0.3">
      <c r="C42" s="95">
        <v>1126.6099999999999</v>
      </c>
      <c r="D42" s="88">
        <f t="shared" si="0"/>
        <v>1.717379694715104E-2</v>
      </c>
      <c r="E42" s="53"/>
    </row>
    <row r="43" spans="1:7" ht="16.5" customHeight="1" x14ac:dyDescent="0.3">
      <c r="C43" s="96">
        <v>1102.31</v>
      </c>
      <c r="D43" s="89">
        <f t="shared" si="0"/>
        <v>-4.7657591244404827E-3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22151.770000000004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1107.5885000000003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6">
        <f>C46</f>
        <v>1107.5885000000003</v>
      </c>
      <c r="C49" s="93">
        <f>-IF(C46&lt;=80,10%,IF(C46&lt;250,7.5%,5%))</f>
        <v>-0.05</v>
      </c>
      <c r="D49" s="81">
        <f>IF(C46&lt;=80,C46*0.9,IF(C46&lt;250,C46*0.925,C46*0.95))</f>
        <v>1052.2090750000002</v>
      </c>
    </row>
    <row r="50" spans="1:6" ht="17.25" customHeight="1" x14ac:dyDescent="0.3">
      <c r="B50" s="477"/>
      <c r="C50" s="94">
        <f>IF(C46&lt;=80, 10%, IF(C46&lt;250, 7.5%, 5%))</f>
        <v>0.05</v>
      </c>
      <c r="D50" s="81">
        <f>IF(C46&lt;=80, C46*1.1, IF(C46&lt;250, C46*1.075, C46*1.05))</f>
        <v>1162.9679250000004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0" zoomScale="39" zoomScaleNormal="40" zoomScalePageLayoutView="39" workbookViewId="0">
      <selection activeCell="C128" sqref="C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98"/>
    </row>
    <row r="16" spans="1:9" ht="19.5" customHeight="1" x14ac:dyDescent="0.3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25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4">
      <c r="A18" s="100" t="s">
        <v>33</v>
      </c>
      <c r="B18" s="486" t="s">
        <v>5</v>
      </c>
      <c r="C18" s="486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1" t="s">
        <v>9</v>
      </c>
      <c r="C20" s="49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1" t="s">
        <v>11</v>
      </c>
      <c r="C21" s="491"/>
      <c r="D21" s="491"/>
      <c r="E21" s="491"/>
      <c r="F21" s="491"/>
      <c r="G21" s="491"/>
      <c r="H21" s="49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6" t="s">
        <v>133</v>
      </c>
      <c r="C26" s="486"/>
    </row>
    <row r="27" spans="1:14" ht="26.25" customHeight="1" x14ac:dyDescent="0.4">
      <c r="A27" s="109" t="s">
        <v>48</v>
      </c>
      <c r="B27" s="492" t="s">
        <v>134</v>
      </c>
      <c r="C27" s="492"/>
    </row>
    <row r="28" spans="1:14" ht="27" customHeight="1" x14ac:dyDescent="0.4">
      <c r="A28" s="109" t="s">
        <v>6</v>
      </c>
      <c r="B28" s="110">
        <v>99.54</v>
      </c>
    </row>
    <row r="29" spans="1:14" s="14" customFormat="1" ht="27" customHeight="1" x14ac:dyDescent="0.4">
      <c r="A29" s="109" t="s">
        <v>49</v>
      </c>
      <c r="B29" s="111">
        <v>0</v>
      </c>
      <c r="C29" s="493" t="s">
        <v>50</v>
      </c>
      <c r="D29" s="494"/>
      <c r="E29" s="494"/>
      <c r="F29" s="494"/>
      <c r="G29" s="4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6" t="s">
        <v>53</v>
      </c>
      <c r="D31" s="497"/>
      <c r="E31" s="497"/>
      <c r="F31" s="497"/>
      <c r="G31" s="497"/>
      <c r="H31" s="4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6" t="s">
        <v>55</v>
      </c>
      <c r="D32" s="497"/>
      <c r="E32" s="497"/>
      <c r="F32" s="497"/>
      <c r="G32" s="497"/>
      <c r="H32" s="4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9" t="s">
        <v>59</v>
      </c>
      <c r="E36" s="500"/>
      <c r="F36" s="499" t="s">
        <v>60</v>
      </c>
      <c r="G36" s="5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13617592</v>
      </c>
      <c r="E38" s="133">
        <f>IF(ISBLANK(D38),"-",$D$48/$D$45*D38)</f>
        <v>15245753.04946588</v>
      </c>
      <c r="F38" s="132">
        <v>13366175</v>
      </c>
      <c r="G38" s="134">
        <f>IF(ISBLANK(F38),"-",$D$48/$F$45*F38)</f>
        <v>14919937.266983679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/>
      <c r="E39" s="138" t="str">
        <f>IF(ISBLANK(D39),"-",$D$48/$D$45*D39)</f>
        <v>-</v>
      </c>
      <c r="F39" s="137">
        <v>13659683</v>
      </c>
      <c r="G39" s="139">
        <f>IF(ISBLANK(F39),"-",$D$48/$F$45*F39)</f>
        <v>15247564.351572789</v>
      </c>
      <c r="I39" s="503">
        <f>ABS((F43/D43*D42)-F42)/D42</f>
        <v>1.4660182585901923E-2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13832952</v>
      </c>
      <c r="E40" s="138">
        <f>IF(ISBLANK(D40),"-",$D$48/$D$45*D40)</f>
        <v>15486862.151334476</v>
      </c>
      <c r="F40" s="137">
        <v>13668678</v>
      </c>
      <c r="G40" s="139">
        <f>IF(ISBLANK(F40),"-",$D$48/$F$45*F40)</f>
        <v>15257604.982921436</v>
      </c>
      <c r="I40" s="5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13725272</v>
      </c>
      <c r="E42" s="148">
        <f>AVERAGE(E38:E41)</f>
        <v>15366307.600400178</v>
      </c>
      <c r="F42" s="147">
        <f>AVERAGE(F38:F41)</f>
        <v>13564845.333333334</v>
      </c>
      <c r="G42" s="149">
        <f>AVERAGE(G38:G41)</f>
        <v>15141702.200492635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13.46</v>
      </c>
      <c r="E43" s="140"/>
      <c r="F43" s="152">
        <v>13.5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13.46</v>
      </c>
      <c r="E44" s="155"/>
      <c r="F44" s="154">
        <f>F43*$B$34</f>
        <v>13.5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13.398084000000001</v>
      </c>
      <c r="E45" s="158"/>
      <c r="F45" s="157">
        <f>F44*$B$30/100</f>
        <v>13.437900000000003</v>
      </c>
      <c r="H45" s="150"/>
    </row>
    <row r="46" spans="1:14" ht="19.5" customHeight="1" x14ac:dyDescent="0.3">
      <c r="A46" s="504" t="s">
        <v>78</v>
      </c>
      <c r="B46" s="505"/>
      <c r="C46" s="153" t="s">
        <v>79</v>
      </c>
      <c r="D46" s="159">
        <f>D45/$B$45</f>
        <v>0.10718467200000001</v>
      </c>
      <c r="E46" s="160"/>
      <c r="F46" s="161">
        <f>F45/$B$45</f>
        <v>0.10750320000000002</v>
      </c>
      <c r="H46" s="150"/>
    </row>
    <row r="47" spans="1:14" ht="27" customHeight="1" x14ac:dyDescent="0.4">
      <c r="A47" s="506"/>
      <c r="B47" s="507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15231544.360455651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1.3270392479558739E-2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5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TenofovirDisoproxil Fumarate 300 mg and Lamivudine USP 300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Tenofovir Disoproxil Fumarate 300mg, Lamivudine 300mg  </v>
      </c>
      <c r="H56" s="179"/>
    </row>
    <row r="57" spans="1:12" ht="18.75" x14ac:dyDescent="0.3">
      <c r="A57" s="176" t="s">
        <v>88</v>
      </c>
      <c r="B57" s="247">
        <f>Uniformity!C46</f>
        <v>1107.5885000000003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508" t="s">
        <v>94</v>
      </c>
      <c r="D60" s="511">
        <v>1080.9100000000001</v>
      </c>
      <c r="E60" s="182">
        <v>1</v>
      </c>
      <c r="F60" s="183">
        <v>15707896</v>
      </c>
      <c r="G60" s="248">
        <f>IF(ISBLANK(F60),"-",(F60/$D$50*$D$47*$B$68)*($B$57/$D$60))</f>
        <v>317.01822892935019</v>
      </c>
      <c r="H60" s="266">
        <f t="shared" ref="H60:H71" si="0">IF(ISBLANK(F60),"-",(G60/$B$56)*100)</f>
        <v>105.67274297645007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509"/>
      <c r="D61" s="512"/>
      <c r="E61" s="184">
        <v>2</v>
      </c>
      <c r="F61" s="137">
        <v>15692311</v>
      </c>
      <c r="G61" s="249">
        <f>IF(ISBLANK(F61),"-",(F61/$D$50*$D$47*$B$68)*($B$57/$D$60))</f>
        <v>316.70369099900842</v>
      </c>
      <c r="H61" s="267">
        <f t="shared" si="0"/>
        <v>105.56789699966946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9"/>
      <c r="D62" s="512"/>
      <c r="E62" s="184">
        <v>3</v>
      </c>
      <c r="F62" s="185">
        <v>15776501</v>
      </c>
      <c r="G62" s="249">
        <f>IF(ISBLANK(F62),"-",(F62/$D$50*$D$47*$B$68)*($B$57/$D$60))</f>
        <v>318.40282146775871</v>
      </c>
      <c r="H62" s="267">
        <f t="shared" si="0"/>
        <v>106.13427382258624</v>
      </c>
      <c r="L62" s="112"/>
    </row>
    <row r="63" spans="1:12" ht="27" customHeight="1" x14ac:dyDescent="0.4">
      <c r="A63" s="124" t="s">
        <v>97</v>
      </c>
      <c r="B63" s="125">
        <v>1</v>
      </c>
      <c r="C63" s="510"/>
      <c r="D63" s="51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8" t="s">
        <v>99</v>
      </c>
      <c r="D64" s="511">
        <v>1048.74</v>
      </c>
      <c r="E64" s="182">
        <v>1</v>
      </c>
      <c r="F64" s="183">
        <v>14725531</v>
      </c>
      <c r="G64" s="248">
        <f>IF(ISBLANK(F64),"-",(F64/$D$50*$D$47*$B$68)*($B$57/$D$64))</f>
        <v>306.30838427856486</v>
      </c>
      <c r="H64" s="266">
        <f t="shared" si="0"/>
        <v>102.10279475952161</v>
      </c>
    </row>
    <row r="65" spans="1:8" ht="26.25" customHeight="1" x14ac:dyDescent="0.4">
      <c r="A65" s="124" t="s">
        <v>100</v>
      </c>
      <c r="B65" s="125">
        <v>1</v>
      </c>
      <c r="C65" s="509"/>
      <c r="D65" s="512"/>
      <c r="E65" s="184">
        <v>2</v>
      </c>
      <c r="F65" s="137">
        <v>14806422</v>
      </c>
      <c r="G65" s="249">
        <f>IF(ISBLANK(F65),"-",(F65/$D$50*$D$47*$B$68)*($B$57/$D$64))</f>
        <v>307.99101232862824</v>
      </c>
      <c r="H65" s="267">
        <f t="shared" si="0"/>
        <v>102.66367077620941</v>
      </c>
    </row>
    <row r="66" spans="1:8" ht="26.25" customHeight="1" x14ac:dyDescent="0.4">
      <c r="A66" s="124" t="s">
        <v>101</v>
      </c>
      <c r="B66" s="125">
        <v>1</v>
      </c>
      <c r="C66" s="509"/>
      <c r="D66" s="512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510"/>
      <c r="D67" s="51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508" t="s">
        <v>104</v>
      </c>
      <c r="D68" s="511">
        <v>1069.3800000000001</v>
      </c>
      <c r="E68" s="182">
        <v>1</v>
      </c>
      <c r="F68" s="183">
        <v>15144277</v>
      </c>
      <c r="G68" s="248">
        <f>IF(ISBLANK(F68),"-",(F68/$D$50*$D$47*$B$68)*($B$57/$D$68))</f>
        <v>308.9386468644376</v>
      </c>
      <c r="H68" s="267">
        <f t="shared" si="0"/>
        <v>102.97954895481254</v>
      </c>
    </row>
    <row r="69" spans="1:8" ht="27" customHeight="1" x14ac:dyDescent="0.4">
      <c r="A69" s="172" t="s">
        <v>105</v>
      </c>
      <c r="B69" s="189">
        <f>(D47*B68)/B56*B57</f>
        <v>1107.5885000000003</v>
      </c>
      <c r="C69" s="509"/>
      <c r="D69" s="512"/>
      <c r="E69" s="184">
        <v>2</v>
      </c>
      <c r="F69" s="137">
        <v>15447432</v>
      </c>
      <c r="G69" s="249">
        <f>IF(ISBLANK(F69),"-",(F69/$D$50*$D$47*$B$68)*($B$57/$D$68))</f>
        <v>315.12291670380921</v>
      </c>
      <c r="H69" s="267">
        <f t="shared" si="0"/>
        <v>105.04097223460307</v>
      </c>
    </row>
    <row r="70" spans="1:8" ht="26.25" customHeight="1" x14ac:dyDescent="0.4">
      <c r="A70" s="521" t="s">
        <v>78</v>
      </c>
      <c r="B70" s="522"/>
      <c r="C70" s="509"/>
      <c r="D70" s="512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523"/>
      <c r="B71" s="524"/>
      <c r="C71" s="520"/>
      <c r="D71" s="51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312.92652879593669</v>
      </c>
      <c r="H72" s="269">
        <f>AVERAGE(H60:H71)</f>
        <v>104.30884293197892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1.5972077466117382E-2</v>
      </c>
      <c r="H73" s="253">
        <f>STDEV(H60:H71)/H72</f>
        <v>1.5972077466117368E-2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7</v>
      </c>
      <c r="H74" s="196">
        <f>COUNT(H60:H71)</f>
        <v>7</v>
      </c>
    </row>
    <row r="76" spans="1:8" ht="26.25" customHeight="1" x14ac:dyDescent="0.4">
      <c r="A76" s="108" t="s">
        <v>106</v>
      </c>
      <c r="B76" s="197" t="s">
        <v>107</v>
      </c>
      <c r="C76" s="516" t="str">
        <f>B26</f>
        <v>Tenofovir Disoproxil Fumurate</v>
      </c>
      <c r="D76" s="516"/>
      <c r="E76" s="198" t="s">
        <v>108</v>
      </c>
      <c r="F76" s="198"/>
      <c r="G76" s="285">
        <f>H72</f>
        <v>104.30884293197892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2" t="str">
        <f>B26</f>
        <v>Tenofovir Disoproxil Fumurate</v>
      </c>
      <c r="C79" s="502"/>
    </row>
    <row r="80" spans="1:8" ht="26.25" customHeight="1" x14ac:dyDescent="0.4">
      <c r="A80" s="109" t="s">
        <v>48</v>
      </c>
      <c r="B80" s="502" t="str">
        <f>B27</f>
        <v>T11-10</v>
      </c>
      <c r="C80" s="502"/>
    </row>
    <row r="81" spans="1:12" ht="27" customHeight="1" x14ac:dyDescent="0.4">
      <c r="A81" s="109" t="s">
        <v>6</v>
      </c>
      <c r="B81" s="201">
        <f>B28</f>
        <v>99.54</v>
      </c>
    </row>
    <row r="82" spans="1:12" s="14" customFormat="1" ht="27" customHeight="1" x14ac:dyDescent="0.4">
      <c r="A82" s="109" t="s">
        <v>49</v>
      </c>
      <c r="B82" s="111">
        <v>0</v>
      </c>
      <c r="C82" s="493" t="s">
        <v>50</v>
      </c>
      <c r="D82" s="494"/>
      <c r="E82" s="494"/>
      <c r="F82" s="494"/>
      <c r="G82" s="4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6" t="s">
        <v>111</v>
      </c>
      <c r="D84" s="497"/>
      <c r="E84" s="497"/>
      <c r="F84" s="497"/>
      <c r="G84" s="497"/>
      <c r="H84" s="4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6" t="s">
        <v>112</v>
      </c>
      <c r="D85" s="497"/>
      <c r="E85" s="497"/>
      <c r="F85" s="497"/>
      <c r="G85" s="497"/>
      <c r="H85" s="4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499" t="s">
        <v>60</v>
      </c>
      <c r="G89" s="501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2621779</v>
      </c>
      <c r="E91" s="133">
        <f>IF(ISBLANK(D91),"-",$D$101/$D$98*D91)</f>
        <v>2935246.9353080634</v>
      </c>
      <c r="F91" s="132">
        <v>2609748</v>
      </c>
      <c r="G91" s="134">
        <f>IF(ISBLANK(F91),"-",$D$101/$F$98*F91)</f>
        <v>2913120.3536266824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2642136</v>
      </c>
      <c r="E92" s="138">
        <f>IF(ISBLANK(D92),"-",$D$101/$D$98*D92)</f>
        <v>2958037.8806402469</v>
      </c>
      <c r="F92" s="137">
        <v>2639742</v>
      </c>
      <c r="G92" s="139">
        <f>IF(ISBLANK(F92),"-",$D$101/$F$98*F92)</f>
        <v>2946601.0314111575</v>
      </c>
      <c r="I92" s="503">
        <f>ABS((F96/D96*D95)-F95)/D95</f>
        <v>1.0218707582440725E-2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2644941</v>
      </c>
      <c r="E93" s="138">
        <f>IF(ISBLANK(D93),"-",$D$101/$D$98*D93)</f>
        <v>2961178.2550400491</v>
      </c>
      <c r="F93" s="137">
        <v>2602051</v>
      </c>
      <c r="G93" s="139">
        <f>IF(ISBLANK(F93),"-",$D$101/$F$98*F93)</f>
        <v>2904528.6093809297</v>
      </c>
      <c r="I93" s="50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2636285.3333333335</v>
      </c>
      <c r="E95" s="148">
        <f>AVERAGE(E91:E94)</f>
        <v>2951487.690329453</v>
      </c>
      <c r="F95" s="211">
        <f>AVERAGE(F91:F94)</f>
        <v>2617180.3333333335</v>
      </c>
      <c r="G95" s="212">
        <f>AVERAGE(G91:G94)</f>
        <v>2921416.6648062565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13.46</v>
      </c>
      <c r="E96" s="140"/>
      <c r="F96" s="152">
        <v>13.5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13.46</v>
      </c>
      <c r="E97" s="155"/>
      <c r="F97" s="154">
        <f>F96*$B$87</f>
        <v>13.5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13.398084000000001</v>
      </c>
      <c r="E98" s="158"/>
      <c r="F98" s="157">
        <f>F97*$B$83/100</f>
        <v>13.437900000000003</v>
      </c>
    </row>
    <row r="99" spans="1:10" ht="19.5" customHeight="1" x14ac:dyDescent="0.3">
      <c r="A99" s="504" t="s">
        <v>78</v>
      </c>
      <c r="B99" s="518"/>
      <c r="C99" s="215" t="s">
        <v>116</v>
      </c>
      <c r="D99" s="219">
        <f>D98/$B$98</f>
        <v>0.26796168000000004</v>
      </c>
      <c r="E99" s="158"/>
      <c r="F99" s="161">
        <f>F98/$B$98</f>
        <v>0.26875800000000005</v>
      </c>
      <c r="G99" s="220"/>
      <c r="H99" s="150"/>
    </row>
    <row r="100" spans="1:10" ht="19.5" customHeight="1" x14ac:dyDescent="0.3">
      <c r="A100" s="506"/>
      <c r="B100" s="519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2936452.1775678545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7.9796515717360395E-3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2990539</v>
      </c>
      <c r="E108" s="250">
        <f t="shared" ref="E108:E113" si="1">IF(ISBLANK(D108),"-",D108/$D$103*$D$100*$B$116)</f>
        <v>305.52573164773383</v>
      </c>
      <c r="F108" s="277">
        <f t="shared" ref="F108:F113" si="2">IF(ISBLANK(D108), "-", (E108/$B$56)*100)</f>
        <v>101.8419105492446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2989797</v>
      </c>
      <c r="E109" s="251">
        <f t="shared" si="1"/>
        <v>305.44992588399606</v>
      </c>
      <c r="F109" s="278">
        <f t="shared" si="2"/>
        <v>101.81664196133202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2996700</v>
      </c>
      <c r="E110" s="251">
        <f t="shared" si="1"/>
        <v>306.15516468060241</v>
      </c>
      <c r="F110" s="278">
        <f t="shared" si="2"/>
        <v>102.05172156020082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2987545</v>
      </c>
      <c r="E111" s="251">
        <f t="shared" si="1"/>
        <v>305.21985232612883</v>
      </c>
      <c r="F111" s="278">
        <f t="shared" si="2"/>
        <v>101.73995077537627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2987079</v>
      </c>
      <c r="E112" s="251">
        <f t="shared" si="1"/>
        <v>305.17224385456302</v>
      </c>
      <c r="F112" s="278">
        <f t="shared" si="2"/>
        <v>101.72408128485435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2995040</v>
      </c>
      <c r="E113" s="252">
        <f t="shared" si="1"/>
        <v>305.98557227116208</v>
      </c>
      <c r="F113" s="279">
        <f t="shared" si="2"/>
        <v>101.99519075705403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305.58474844403105</v>
      </c>
      <c r="F115" s="281">
        <f>AVERAGE(F108:F113)</f>
        <v>101.86158281467702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1.3179373066377589E-3</v>
      </c>
      <c r="F116" s="235">
        <f>STDEV(F108:F113)/F115</f>
        <v>1.3179373066377967E-3</v>
      </c>
      <c r="I116" s="98"/>
    </row>
    <row r="117" spans="1:10" ht="27" customHeight="1" x14ac:dyDescent="0.4">
      <c r="A117" s="504" t="s">
        <v>78</v>
      </c>
      <c r="B117" s="50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06"/>
      <c r="B118" s="507"/>
      <c r="C118" s="98"/>
      <c r="D118" s="260"/>
      <c r="E118" s="484" t="s">
        <v>123</v>
      </c>
      <c r="F118" s="485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305.17224385456302</v>
      </c>
      <c r="F119" s="282">
        <f>MIN(F108:F113)</f>
        <v>101.72408128485435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306.15516468060241</v>
      </c>
      <c r="F120" s="283">
        <f>MAX(F108:F113)</f>
        <v>102.05172156020082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6" t="str">
        <f>B26</f>
        <v>Tenofovir Disoproxil Fumurate</v>
      </c>
      <c r="D124" s="516"/>
      <c r="E124" s="198" t="s">
        <v>127</v>
      </c>
      <c r="F124" s="198"/>
      <c r="G124" s="284">
        <f>F115</f>
        <v>101.86158281467702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101.72408128485435</v>
      </c>
      <c r="E125" s="209" t="s">
        <v>130</v>
      </c>
      <c r="F125" s="284">
        <f>MAX(F108:F113)</f>
        <v>102.05172156020082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7" t="s">
        <v>26</v>
      </c>
      <c r="C127" s="517"/>
      <c r="E127" s="204" t="s">
        <v>27</v>
      </c>
      <c r="F127" s="239"/>
      <c r="G127" s="517" t="s">
        <v>28</v>
      </c>
      <c r="H127" s="517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9" zoomScale="46" zoomScaleNormal="40" zoomScalePageLayoutView="46" workbookViewId="0">
      <selection activeCell="B129" sqref="B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286"/>
    </row>
    <row r="16" spans="1:9" ht="19.5" customHeight="1" x14ac:dyDescent="0.3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25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4">
      <c r="A18" s="288" t="s">
        <v>33</v>
      </c>
      <c r="B18" s="486" t="s">
        <v>5</v>
      </c>
      <c r="C18" s="486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491" t="s">
        <v>9</v>
      </c>
      <c r="C20" s="491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491" t="s">
        <v>11</v>
      </c>
      <c r="C21" s="491"/>
      <c r="D21" s="491"/>
      <c r="E21" s="491"/>
      <c r="F21" s="491"/>
      <c r="G21" s="491"/>
      <c r="H21" s="491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86" t="s">
        <v>131</v>
      </c>
      <c r="C26" s="486"/>
    </row>
    <row r="27" spans="1:14" ht="26.25" customHeight="1" x14ac:dyDescent="0.4">
      <c r="A27" s="297" t="s">
        <v>48</v>
      </c>
      <c r="B27" s="492" t="s">
        <v>132</v>
      </c>
      <c r="C27" s="492"/>
    </row>
    <row r="28" spans="1:14" ht="27" customHeight="1" x14ac:dyDescent="0.4">
      <c r="A28" s="297" t="s">
        <v>6</v>
      </c>
      <c r="B28" s="298">
        <v>99.39</v>
      </c>
    </row>
    <row r="29" spans="1:14" s="14" customFormat="1" ht="27" customHeight="1" x14ac:dyDescent="0.4">
      <c r="A29" s="297" t="s">
        <v>49</v>
      </c>
      <c r="B29" s="299">
        <v>0</v>
      </c>
      <c r="C29" s="493" t="s">
        <v>50</v>
      </c>
      <c r="D29" s="494"/>
      <c r="E29" s="494"/>
      <c r="F29" s="494"/>
      <c r="G29" s="495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99.39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6" t="s">
        <v>53</v>
      </c>
      <c r="D31" s="497"/>
      <c r="E31" s="497"/>
      <c r="F31" s="497"/>
      <c r="G31" s="497"/>
      <c r="H31" s="498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6" t="s">
        <v>55</v>
      </c>
      <c r="D32" s="497"/>
      <c r="E32" s="497"/>
      <c r="F32" s="497"/>
      <c r="G32" s="497"/>
      <c r="H32" s="498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50</v>
      </c>
      <c r="C36" s="287"/>
      <c r="D36" s="499" t="s">
        <v>59</v>
      </c>
      <c r="E36" s="500"/>
      <c r="F36" s="499" t="s">
        <v>60</v>
      </c>
      <c r="G36" s="501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</v>
      </c>
      <c r="C38" s="319">
        <v>1</v>
      </c>
      <c r="D38" s="320">
        <v>23845043</v>
      </c>
      <c r="E38" s="321">
        <f>IF(ISBLANK(D38),"-",$D$48/$D$45*D38)</f>
        <v>29092227.746895514</v>
      </c>
      <c r="F38" s="320">
        <v>29077634</v>
      </c>
      <c r="G38" s="322">
        <f>IF(ISBLANK(F38),"-",$D$48/$F$45*F38)</f>
        <v>28645002.793804608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0"/>
      <c r="E39" s="326" t="str">
        <f>IF(ISBLANK(D39),"-",$D$48/$D$45*D39)</f>
        <v>-</v>
      </c>
      <c r="F39" s="325">
        <v>29548378</v>
      </c>
      <c r="G39" s="327">
        <f>IF(ISBLANK(F39),"-",$D$48/$F$45*F39)</f>
        <v>29108742.835211236</v>
      </c>
      <c r="I39" s="503">
        <f>ABS((F43/D43*D42)-F42)/D42</f>
        <v>1.1046360703409325E-2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0">
        <v>24077374</v>
      </c>
      <c r="E40" s="326">
        <f>IF(ISBLANK(D40),"-",$D$48/$D$45*D40)</f>
        <v>29375683.992483497</v>
      </c>
      <c r="F40" s="325">
        <v>29606382</v>
      </c>
      <c r="G40" s="327">
        <f>IF(ISBLANK(F40),"-",$D$48/$F$45*F40)</f>
        <v>29165883.823437851</v>
      </c>
      <c r="I40" s="503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23961208.5</v>
      </c>
      <c r="E42" s="336">
        <f>AVERAGE(E38:E41)</f>
        <v>29233955.869689506</v>
      </c>
      <c r="F42" s="335">
        <f>AVERAGE(F38:F41)</f>
        <v>29410798</v>
      </c>
      <c r="G42" s="337">
        <f>AVERAGE(G38:G41)</f>
        <v>28973209.817484569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12.37</v>
      </c>
      <c r="E43" s="328"/>
      <c r="F43" s="340">
        <v>15.32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12.37</v>
      </c>
      <c r="E44" s="343"/>
      <c r="F44" s="342">
        <f>F43*$B$34</f>
        <v>15.32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125</v>
      </c>
      <c r="C45" s="341" t="s">
        <v>77</v>
      </c>
      <c r="D45" s="345">
        <f>D44*$B$30/100</f>
        <v>12.294542999999999</v>
      </c>
      <c r="E45" s="346"/>
      <c r="F45" s="345">
        <f>F44*$B$30/100</f>
        <v>15.226548000000001</v>
      </c>
      <c r="H45" s="338"/>
    </row>
    <row r="46" spans="1:14" ht="19.5" customHeight="1" x14ac:dyDescent="0.3">
      <c r="A46" s="504" t="s">
        <v>78</v>
      </c>
      <c r="B46" s="505"/>
      <c r="C46" s="341" t="s">
        <v>79</v>
      </c>
      <c r="D46" s="347">
        <f>D45/$B$45</f>
        <v>9.8356343999999998E-2</v>
      </c>
      <c r="E46" s="348"/>
      <c r="F46" s="349">
        <f>F45/$B$45</f>
        <v>0.12181238400000001</v>
      </c>
      <c r="H46" s="338"/>
    </row>
    <row r="47" spans="1:14" ht="27" customHeight="1" x14ac:dyDescent="0.4">
      <c r="A47" s="506"/>
      <c r="B47" s="507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15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15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29077508.238366537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9.1793958993125931E-3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5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 coated tablet contains: TenofovirDisoproxil Fumarate 300 mg and Lamivudine USP 300 mg.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 xml:space="preserve">Tenofovir Disoproxil Fumarate 300mg, Lamivudine 300mg  </v>
      </c>
      <c r="H56" s="367"/>
    </row>
    <row r="57" spans="1:12" ht="18.75" x14ac:dyDescent="0.3">
      <c r="A57" s="364" t="s">
        <v>88</v>
      </c>
      <c r="B57" s="435">
        <f>Uniformity!C46</f>
        <v>1107.5885000000003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200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508" t="s">
        <v>94</v>
      </c>
      <c r="D60" s="511">
        <f>'Tenofovir Disoproxil Fumurate'!D60:D63</f>
        <v>1080.9100000000001</v>
      </c>
      <c r="E60" s="370">
        <v>1</v>
      </c>
      <c r="F60" s="371">
        <v>28462571</v>
      </c>
      <c r="G60" s="436">
        <f>IF(ISBLANK(F60),"-",(F60/$D$50*$D$47*$B$68)*($B$57/$D$60))</f>
        <v>300.90340165341831</v>
      </c>
      <c r="H60" s="454">
        <f t="shared" ref="H60:H71" si="0">IF(ISBLANK(F60),"-",(G60/$B$56)*100)</f>
        <v>100.30113388447278</v>
      </c>
      <c r="L60" s="300"/>
    </row>
    <row r="61" spans="1:12" s="14" customFormat="1" ht="26.25" customHeight="1" x14ac:dyDescent="0.4">
      <c r="A61" s="312" t="s">
        <v>95</v>
      </c>
      <c r="B61" s="313">
        <v>50</v>
      </c>
      <c r="C61" s="509"/>
      <c r="D61" s="512"/>
      <c r="E61" s="372">
        <v>2</v>
      </c>
      <c r="F61" s="325">
        <v>28377703</v>
      </c>
      <c r="G61" s="437">
        <f>IF(ISBLANK(F61),"-",(F61/$D$50*$D$47*$B$68)*($B$57/$D$60))</f>
        <v>300.0061858013604</v>
      </c>
      <c r="H61" s="455">
        <f t="shared" si="0"/>
        <v>100.00206193378681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9"/>
      <c r="D62" s="512"/>
      <c r="E62" s="372">
        <v>3</v>
      </c>
      <c r="F62" s="373">
        <v>28720358</v>
      </c>
      <c r="G62" s="437">
        <f>IF(ISBLANK(F62),"-",(F62/$D$50*$D$47*$B$68)*($B$57/$D$60))</f>
        <v>303.62869956139826</v>
      </c>
      <c r="H62" s="455">
        <f t="shared" si="0"/>
        <v>101.20956652046608</v>
      </c>
      <c r="L62" s="300"/>
    </row>
    <row r="63" spans="1:12" ht="27" customHeight="1" x14ac:dyDescent="0.4">
      <c r="A63" s="312" t="s">
        <v>97</v>
      </c>
      <c r="B63" s="313">
        <v>1</v>
      </c>
      <c r="C63" s="510"/>
      <c r="D63" s="513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8" t="s">
        <v>99</v>
      </c>
      <c r="D64" s="511">
        <f>'Tenofovir Disoproxil Fumurate'!D64:D67</f>
        <v>1048.74</v>
      </c>
      <c r="E64" s="370">
        <v>1</v>
      </c>
      <c r="F64" s="371">
        <v>27273957</v>
      </c>
      <c r="G64" s="436">
        <f>IF(ISBLANK(F64),"-",(F64/$D$50*$D$47*$B$68)*($B$57/$D$64))</f>
        <v>297.18222082612363</v>
      </c>
      <c r="H64" s="454">
        <f t="shared" si="0"/>
        <v>99.060740275374542</v>
      </c>
    </row>
    <row r="65" spans="1:8" ht="26.25" customHeight="1" x14ac:dyDescent="0.4">
      <c r="A65" s="312" t="s">
        <v>100</v>
      </c>
      <c r="B65" s="313">
        <v>1</v>
      </c>
      <c r="C65" s="509"/>
      <c r="D65" s="512"/>
      <c r="E65" s="372">
        <v>2</v>
      </c>
      <c r="F65" s="325">
        <v>27370647</v>
      </c>
      <c r="G65" s="437">
        <f>IF(ISBLANK(F65),"-",(F65/$D$50*$D$47*$B$68)*($B$57/$D$64))</f>
        <v>298.23577344893067</v>
      </c>
      <c r="H65" s="455">
        <f t="shared" si="0"/>
        <v>99.411924482976886</v>
      </c>
    </row>
    <row r="66" spans="1:8" ht="26.25" customHeight="1" x14ac:dyDescent="0.4">
      <c r="A66" s="312" t="s">
        <v>101</v>
      </c>
      <c r="B66" s="313">
        <v>1</v>
      </c>
      <c r="C66" s="509"/>
      <c r="D66" s="512"/>
      <c r="E66" s="372">
        <v>3</v>
      </c>
      <c r="F66" s="325">
        <v>27137108</v>
      </c>
      <c r="G66" s="437">
        <f>IF(ISBLANK(F66),"-",(F66/$D$50*$D$47*$B$68)*($B$57/$D$64))</f>
        <v>295.6910881042441</v>
      </c>
      <c r="H66" s="455">
        <f t="shared" si="0"/>
        <v>98.563696034748034</v>
      </c>
    </row>
    <row r="67" spans="1:8" ht="27" customHeight="1" x14ac:dyDescent="0.4">
      <c r="A67" s="312" t="s">
        <v>102</v>
      </c>
      <c r="B67" s="313">
        <v>1</v>
      </c>
      <c r="C67" s="510"/>
      <c r="D67" s="513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508" t="s">
        <v>104</v>
      </c>
      <c r="D68" s="511">
        <f>'Tenofovir Disoproxil Fumurate'!D68:D71</f>
        <v>1069.3800000000001</v>
      </c>
      <c r="E68" s="370">
        <v>1</v>
      </c>
      <c r="F68" s="371">
        <v>27633822</v>
      </c>
      <c r="G68" s="436">
        <f>IF(ISBLANK(F68),"-",(F68/$D$50*$D$47*$B$68)*($B$57/$D$68))</f>
        <v>295.29181108830335</v>
      </c>
      <c r="H68" s="455">
        <f t="shared" si="0"/>
        <v>98.430603696101116</v>
      </c>
    </row>
    <row r="69" spans="1:8" ht="27" customHeight="1" x14ac:dyDescent="0.4">
      <c r="A69" s="360" t="s">
        <v>105</v>
      </c>
      <c r="B69" s="377">
        <f>(D47*B68)/B56*B57</f>
        <v>1107.5885000000003</v>
      </c>
      <c r="C69" s="509"/>
      <c r="D69" s="512"/>
      <c r="E69" s="372">
        <v>2</v>
      </c>
      <c r="F69" s="325">
        <v>28476430</v>
      </c>
      <c r="G69" s="437">
        <f>IF(ISBLANK(F69),"-",(F69/$D$50*$D$47*$B$68)*($B$57/$D$68))</f>
        <v>304.29582227276762</v>
      </c>
      <c r="H69" s="455">
        <f t="shared" si="0"/>
        <v>101.43194075758922</v>
      </c>
    </row>
    <row r="70" spans="1:8" ht="26.25" customHeight="1" x14ac:dyDescent="0.4">
      <c r="A70" s="521" t="s">
        <v>78</v>
      </c>
      <c r="B70" s="522"/>
      <c r="C70" s="509"/>
      <c r="D70" s="512"/>
      <c r="E70" s="372">
        <v>3</v>
      </c>
      <c r="F70" s="325"/>
      <c r="G70" s="437" t="str">
        <f>IF(ISBLANK(F70),"-",(F70/$D$50*$D$47*$B$68)*($B$57/$D$68))</f>
        <v>-</v>
      </c>
      <c r="H70" s="455" t="str">
        <f t="shared" si="0"/>
        <v>-</v>
      </c>
    </row>
    <row r="71" spans="1:8" ht="27" customHeight="1" x14ac:dyDescent="0.4">
      <c r="A71" s="523"/>
      <c r="B71" s="524"/>
      <c r="C71" s="520"/>
      <c r="D71" s="513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299.40437534456828</v>
      </c>
      <c r="H72" s="457">
        <f>AVERAGE(H60:H71)</f>
        <v>99.801458448189436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1.1388510342516348E-2</v>
      </c>
      <c r="H73" s="441">
        <f>STDEV(H60:H71)/H72</f>
        <v>1.1388510342516365E-2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8</v>
      </c>
      <c r="H74" s="384">
        <f>COUNT(H60:H71)</f>
        <v>8</v>
      </c>
    </row>
    <row r="76" spans="1:8" ht="26.25" customHeight="1" x14ac:dyDescent="0.4">
      <c r="A76" s="296" t="s">
        <v>106</v>
      </c>
      <c r="B76" s="385" t="s">
        <v>107</v>
      </c>
      <c r="C76" s="516" t="str">
        <f>B26</f>
        <v>LAMIVUDINE</v>
      </c>
      <c r="D76" s="516"/>
      <c r="E76" s="386" t="s">
        <v>108</v>
      </c>
      <c r="F76" s="386"/>
      <c r="G76" s="473">
        <f>H72</f>
        <v>99.801458448189436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02" t="str">
        <f>B26</f>
        <v>LAMIVUDINE</v>
      </c>
      <c r="C79" s="502"/>
    </row>
    <row r="80" spans="1:8" ht="26.25" customHeight="1" x14ac:dyDescent="0.4">
      <c r="A80" s="297" t="s">
        <v>48</v>
      </c>
      <c r="B80" s="502" t="str">
        <f>B27</f>
        <v>L3-10</v>
      </c>
      <c r="C80" s="502"/>
    </row>
    <row r="81" spans="1:12" ht="27" customHeight="1" x14ac:dyDescent="0.4">
      <c r="A81" s="297" t="s">
        <v>6</v>
      </c>
      <c r="B81" s="389">
        <f>B28</f>
        <v>99.39</v>
      </c>
    </row>
    <row r="82" spans="1:12" s="14" customFormat="1" ht="27" customHeight="1" x14ac:dyDescent="0.4">
      <c r="A82" s="297" t="s">
        <v>49</v>
      </c>
      <c r="B82" s="299">
        <v>0</v>
      </c>
      <c r="C82" s="493" t="s">
        <v>50</v>
      </c>
      <c r="D82" s="494"/>
      <c r="E82" s="494"/>
      <c r="F82" s="494"/>
      <c r="G82" s="495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99.39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6" t="s">
        <v>111</v>
      </c>
      <c r="D84" s="497"/>
      <c r="E84" s="497"/>
      <c r="F84" s="497"/>
      <c r="G84" s="497"/>
      <c r="H84" s="498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6" t="s">
        <v>112</v>
      </c>
      <c r="D85" s="497"/>
      <c r="E85" s="497"/>
      <c r="F85" s="497"/>
      <c r="G85" s="497"/>
      <c r="H85" s="498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50</v>
      </c>
      <c r="D89" s="390" t="s">
        <v>59</v>
      </c>
      <c r="E89" s="391"/>
      <c r="F89" s="499" t="s">
        <v>60</v>
      </c>
      <c r="G89" s="501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3400430</v>
      </c>
      <c r="E91" s="321">
        <f>IF(ISBLANK(D91),"-",$D$101/$D$98*D91)</f>
        <v>4148706.4626964992</v>
      </c>
      <c r="F91" s="320">
        <v>4198043</v>
      </c>
      <c r="G91" s="322">
        <f>IF(ISBLANK(F91),"-",$D$101/$F$98*F91)</f>
        <v>4135582.4708266114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3422037</v>
      </c>
      <c r="E92" s="326">
        <f>IF(ISBLANK(D92),"-",$D$101/$D$98*D92)</f>
        <v>4175068.1582877869</v>
      </c>
      <c r="F92" s="325">
        <v>4248412</v>
      </c>
      <c r="G92" s="327">
        <f>IF(ISBLANK(F92),"-",$D$101/$F$98*F92)</f>
        <v>4185202.0563032408</v>
      </c>
      <c r="I92" s="503">
        <f>ABS((F96/D96*D95)-F95)/D95</f>
        <v>5.4368932470121928E-3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3426727</v>
      </c>
      <c r="E93" s="326">
        <f>IF(ISBLANK(D93),"-",$D$101/$D$98*D93)</f>
        <v>4180790.2091196072</v>
      </c>
      <c r="F93" s="325">
        <v>4191245</v>
      </c>
      <c r="G93" s="327">
        <f>IF(ISBLANK(F93),"-",$D$101/$F$98*F93)</f>
        <v>4128885.6147828121</v>
      </c>
      <c r="I93" s="503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3416398</v>
      </c>
      <c r="E95" s="336">
        <f>AVERAGE(E91:E94)</f>
        <v>4168188.2767012976</v>
      </c>
      <c r="F95" s="399">
        <f>AVERAGE(F91:F94)</f>
        <v>4212566.666666667</v>
      </c>
      <c r="G95" s="400">
        <f>AVERAGE(G91:G94)</f>
        <v>4149890.0473042219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12.37</v>
      </c>
      <c r="E96" s="328"/>
      <c r="F96" s="340">
        <v>15.32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12.37</v>
      </c>
      <c r="E97" s="343"/>
      <c r="F97" s="342">
        <f>F96*$B$87</f>
        <v>15.32</v>
      </c>
    </row>
    <row r="98" spans="1:10" ht="19.5" customHeight="1" x14ac:dyDescent="0.3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12.294542999999999</v>
      </c>
      <c r="E98" s="346"/>
      <c r="F98" s="345">
        <f>F97*$B$83/100</f>
        <v>15.226548000000001</v>
      </c>
    </row>
    <row r="99" spans="1:10" ht="19.5" customHeight="1" x14ac:dyDescent="0.3">
      <c r="A99" s="504" t="s">
        <v>78</v>
      </c>
      <c r="B99" s="518"/>
      <c r="C99" s="403" t="s">
        <v>116</v>
      </c>
      <c r="D99" s="407">
        <f>D98/$B$98</f>
        <v>0.24589085999999999</v>
      </c>
      <c r="E99" s="346"/>
      <c r="F99" s="349">
        <f>F98/$B$98</f>
        <v>0.30453096000000002</v>
      </c>
      <c r="G99" s="408"/>
      <c r="H99" s="338"/>
    </row>
    <row r="100" spans="1:10" ht="19.5" customHeight="1" x14ac:dyDescent="0.3">
      <c r="A100" s="506"/>
      <c r="B100" s="519"/>
      <c r="C100" s="403" t="s">
        <v>80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4159039.1620027595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5.8706319785425615E-3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4028731</v>
      </c>
      <c r="E108" s="438">
        <f t="shared" ref="E108:E113" si="1">IF(ISBLANK(D108),"-",D108/$D$103*$D$100*$B$116)</f>
        <v>290.6006057942472</v>
      </c>
      <c r="F108" s="465">
        <f t="shared" ref="F108:F113" si="2">IF(ISBLANK(D108), "-", (E108/$B$56)*100)</f>
        <v>96.866868598082405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4029981</v>
      </c>
      <c r="E109" s="439">
        <f t="shared" si="1"/>
        <v>290.69077085050003</v>
      </c>
      <c r="F109" s="466">
        <f t="shared" si="2"/>
        <v>96.896923616833348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4039836</v>
      </c>
      <c r="E110" s="439">
        <f t="shared" si="1"/>
        <v>291.40163215399792</v>
      </c>
      <c r="F110" s="466">
        <f t="shared" si="2"/>
        <v>97.133877384665979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4028548</v>
      </c>
      <c r="E111" s="439">
        <f t="shared" si="1"/>
        <v>290.58740563001174</v>
      </c>
      <c r="F111" s="466">
        <f t="shared" si="2"/>
        <v>96.862468543337243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4028790</v>
      </c>
      <c r="E112" s="439">
        <f t="shared" si="1"/>
        <v>290.60486158490227</v>
      </c>
      <c r="F112" s="466">
        <f t="shared" si="2"/>
        <v>96.868287194967422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4030298</v>
      </c>
      <c r="E113" s="440">
        <f t="shared" si="1"/>
        <v>290.71363670876576</v>
      </c>
      <c r="F113" s="467">
        <f t="shared" si="2"/>
        <v>96.904545569588578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290.76648545373752</v>
      </c>
      <c r="F115" s="469">
        <f>AVERAGE(F108:F113)</f>
        <v>96.922161817912482</v>
      </c>
    </row>
    <row r="116" spans="1:10" ht="27" customHeight="1" x14ac:dyDescent="0.4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1.0850017725486788E-3</v>
      </c>
      <c r="F116" s="423">
        <f>STDEV(F108:F113)/F115</f>
        <v>1.0850017725487001E-3</v>
      </c>
      <c r="I116" s="286"/>
    </row>
    <row r="117" spans="1:10" ht="27" customHeight="1" x14ac:dyDescent="0.4">
      <c r="A117" s="504" t="s">
        <v>78</v>
      </c>
      <c r="B117" s="505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506"/>
      <c r="B118" s="507"/>
      <c r="C118" s="286"/>
      <c r="D118" s="448"/>
      <c r="E118" s="484" t="s">
        <v>123</v>
      </c>
      <c r="F118" s="485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290.58740563001174</v>
      </c>
      <c r="F119" s="470">
        <f>MIN(F108:F113)</f>
        <v>96.862468543337243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291.40163215399792</v>
      </c>
      <c r="F120" s="471">
        <f>MAX(F108:F113)</f>
        <v>97.133877384665979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16" t="str">
        <f>B26</f>
        <v>LAMIVUDINE</v>
      </c>
      <c r="D124" s="516"/>
      <c r="E124" s="386" t="s">
        <v>127</v>
      </c>
      <c r="F124" s="386"/>
      <c r="G124" s="472">
        <f>F115</f>
        <v>96.922161817912482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96.862468543337243</v>
      </c>
      <c r="E125" s="397" t="s">
        <v>130</v>
      </c>
      <c r="F125" s="472">
        <f>MAX(F108:F113)</f>
        <v>97.133877384665979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17" t="s">
        <v>26</v>
      </c>
      <c r="C127" s="517"/>
      <c r="E127" s="392" t="s">
        <v>27</v>
      </c>
      <c r="F127" s="427"/>
      <c r="G127" s="517" t="s">
        <v>28</v>
      </c>
      <c r="H127" s="517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49" sqref="B49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8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99.54</v>
      </c>
      <c r="C19" s="72"/>
      <c r="D19" s="72"/>
      <c r="E19" s="72"/>
    </row>
    <row r="20" spans="1:5" ht="16.5" customHeight="1" x14ac:dyDescent="0.3">
      <c r="A20" s="8" t="s">
        <v>8</v>
      </c>
      <c r="B20" s="12">
        <v>13.46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B20/50*4/10</f>
        <v>0.10768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13791692</v>
      </c>
      <c r="C24" s="18">
        <v>58791.8</v>
      </c>
      <c r="D24" s="19">
        <v>1.4</v>
      </c>
      <c r="E24" s="20">
        <v>17.100000000000001</v>
      </c>
    </row>
    <row r="25" spans="1:5" ht="16.5" customHeight="1" x14ac:dyDescent="0.3">
      <c r="A25" s="17">
        <v>2</v>
      </c>
      <c r="B25" s="18">
        <v>13825097</v>
      </c>
      <c r="C25" s="18">
        <v>57929.1</v>
      </c>
      <c r="D25" s="19">
        <v>1.4</v>
      </c>
      <c r="E25" s="19">
        <v>17.100000000000001</v>
      </c>
    </row>
    <row r="26" spans="1:5" ht="16.5" customHeight="1" x14ac:dyDescent="0.3">
      <c r="A26" s="17">
        <v>3</v>
      </c>
      <c r="B26" s="18">
        <v>13806991</v>
      </c>
      <c r="C26" s="18">
        <v>58754.1</v>
      </c>
      <c r="D26" s="19">
        <v>1.3</v>
      </c>
      <c r="E26" s="19">
        <v>17.100000000000001</v>
      </c>
    </row>
    <row r="27" spans="1:5" ht="16.5" customHeight="1" x14ac:dyDescent="0.3">
      <c r="A27" s="17">
        <v>4</v>
      </c>
      <c r="B27" s="18">
        <v>13772541</v>
      </c>
      <c r="C27" s="18">
        <v>58641.3</v>
      </c>
      <c r="D27" s="19">
        <v>1.4</v>
      </c>
      <c r="E27" s="19">
        <v>17</v>
      </c>
    </row>
    <row r="28" spans="1:5" ht="16.5" customHeight="1" x14ac:dyDescent="0.3">
      <c r="A28" s="17">
        <v>5</v>
      </c>
      <c r="B28" s="18">
        <v>13715236</v>
      </c>
      <c r="C28" s="18">
        <v>59016.3</v>
      </c>
      <c r="D28" s="19">
        <v>1.3</v>
      </c>
      <c r="E28" s="19">
        <v>17</v>
      </c>
    </row>
    <row r="29" spans="1:5" ht="16.5" customHeight="1" x14ac:dyDescent="0.3">
      <c r="A29" s="17">
        <v>6</v>
      </c>
      <c r="B29" s="21">
        <v>13503399</v>
      </c>
      <c r="C29" s="21">
        <v>58863.199999999997</v>
      </c>
      <c r="D29" s="22">
        <v>1.4</v>
      </c>
      <c r="E29" s="22">
        <v>17</v>
      </c>
    </row>
    <row r="30" spans="1:5" ht="16.5" customHeight="1" x14ac:dyDescent="0.3">
      <c r="A30" s="23" t="s">
        <v>18</v>
      </c>
      <c r="B30" s="24">
        <f>AVERAGE(B24:B29)</f>
        <v>13735826</v>
      </c>
      <c r="C30" s="25">
        <f>AVERAGE(C24:C29)</f>
        <v>58665.966666666667</v>
      </c>
      <c r="D30" s="26">
        <f>AVERAGE(D24:D29)</f>
        <v>1.3666666666666665</v>
      </c>
      <c r="E30" s="26">
        <f>AVERAGE(E24:E29)</f>
        <v>17.05</v>
      </c>
    </row>
    <row r="31" spans="1:5" ht="16.5" customHeight="1" x14ac:dyDescent="0.3">
      <c r="A31" s="27" t="s">
        <v>19</v>
      </c>
      <c r="B31" s="28">
        <f>(STDEV(B24:B29)/B30)</f>
        <v>8.7331854700964089E-3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99.54</v>
      </c>
      <c r="C40" s="72"/>
      <c r="D40" s="72"/>
      <c r="E40" s="72"/>
    </row>
    <row r="41" spans="1:5" ht="16.5" customHeight="1" x14ac:dyDescent="0.3">
      <c r="A41" s="8" t="s">
        <v>8</v>
      </c>
      <c r="B41" s="12">
        <v>13.46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0.26919999999999999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2635645</v>
      </c>
      <c r="C45" s="18">
        <v>28032</v>
      </c>
      <c r="D45" s="19">
        <v>1.3</v>
      </c>
      <c r="E45" s="20">
        <v>7.52</v>
      </c>
    </row>
    <row r="46" spans="1:5" ht="16.5" customHeight="1" x14ac:dyDescent="0.3">
      <c r="A46" s="17">
        <v>2</v>
      </c>
      <c r="B46" s="18">
        <v>2638285</v>
      </c>
      <c r="C46" s="18">
        <v>29010</v>
      </c>
      <c r="D46" s="19">
        <v>1.28</v>
      </c>
      <c r="E46" s="19">
        <v>7.53</v>
      </c>
    </row>
    <row r="47" spans="1:5" ht="16.5" customHeight="1" x14ac:dyDescent="0.3">
      <c r="A47" s="17">
        <v>3</v>
      </c>
      <c r="B47" s="18">
        <v>2640373</v>
      </c>
      <c r="C47" s="18">
        <v>29869</v>
      </c>
      <c r="D47" s="19">
        <v>1.32</v>
      </c>
      <c r="E47" s="19">
        <v>7.53</v>
      </c>
    </row>
    <row r="48" spans="1:5" ht="16.5" customHeight="1" x14ac:dyDescent="0.3">
      <c r="A48" s="17">
        <v>4</v>
      </c>
      <c r="B48" s="18">
        <v>2643550</v>
      </c>
      <c r="C48" s="18">
        <v>29988</v>
      </c>
      <c r="D48" s="19">
        <v>1.24</v>
      </c>
      <c r="E48" s="19">
        <v>7.53</v>
      </c>
    </row>
    <row r="49" spans="1:7" ht="16.5" customHeight="1" x14ac:dyDescent="0.3">
      <c r="A49" s="17">
        <v>5</v>
      </c>
      <c r="B49" s="18">
        <v>2640619</v>
      </c>
      <c r="C49" s="18">
        <v>30374</v>
      </c>
      <c r="D49" s="19">
        <v>1.23</v>
      </c>
      <c r="E49" s="19">
        <v>7.53</v>
      </c>
    </row>
    <row r="50" spans="1:7" ht="16.5" customHeight="1" x14ac:dyDescent="0.3">
      <c r="A50" s="17">
        <v>6</v>
      </c>
      <c r="B50" s="21">
        <v>2635881</v>
      </c>
      <c r="C50" s="21">
        <v>30849</v>
      </c>
      <c r="D50" s="22">
        <v>1.27</v>
      </c>
      <c r="E50" s="22">
        <v>7.53</v>
      </c>
    </row>
    <row r="51" spans="1:7" ht="16.5" customHeight="1" x14ac:dyDescent="0.3">
      <c r="A51" s="23" t="s">
        <v>18</v>
      </c>
      <c r="B51" s="24">
        <f>AVERAGE(B45:B50)</f>
        <v>2639058.8333333335</v>
      </c>
      <c r="C51" s="25">
        <f>AVERAGE(C45:C50)</f>
        <v>29687</v>
      </c>
      <c r="D51" s="26">
        <f>AVERAGE(D45:D50)</f>
        <v>1.2733333333333334</v>
      </c>
      <c r="E51" s="26">
        <f>AVERAGE(E45:E50)</f>
        <v>7.5283333333333333</v>
      </c>
    </row>
    <row r="52" spans="1:7" ht="16.5" customHeight="1" x14ac:dyDescent="0.3">
      <c r="A52" s="27" t="s">
        <v>19</v>
      </c>
      <c r="B52" s="28">
        <f>(STDEV(B45:B50)/B51)</f>
        <v>1.1578367170345407E-3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LAMIVUDINE</vt:lpstr>
      <vt:lpstr>Uniformity</vt:lpstr>
      <vt:lpstr>Tenofovir Disoproxil Fumurate</vt:lpstr>
      <vt:lpstr>Lamivudine</vt:lpstr>
      <vt:lpstr>SST 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2018-04-16T05:50:52Z</cp:lastPrinted>
  <dcterms:created xsi:type="dcterms:W3CDTF">2005-07-05T10:19:27Z</dcterms:created>
  <dcterms:modified xsi:type="dcterms:W3CDTF">2018-04-16T05:52:21Z</dcterms:modified>
</cp:coreProperties>
</file>