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aul Njaria\Documents\Wet Chemistry\LIMS Worksheets\"/>
    </mc:Choice>
  </mc:AlternateContent>
  <bookViews>
    <workbookView xWindow="0" yWindow="0" windowWidth="20490" windowHeight="7650"/>
  </bookViews>
  <sheets>
    <sheet name="SST SULFAMETHOXAZOLE" sheetId="5" r:id="rId1"/>
    <sheet name="SST TRIMETHOPRIM" sheetId="1" r:id="rId2"/>
    <sheet name="Uniformity" sheetId="2" r:id="rId3"/>
    <sheet name="SULFAMETHOXAZOLE" sheetId="3" r:id="rId4"/>
    <sheet name="TRIMETHOPRIM" sheetId="4" r:id="rId5"/>
  </sheets>
  <definedNames>
    <definedName name="_xlnm.Print_Area" localSheetId="2">Uniformity!$A$1:$F$54</definedName>
  </definedNames>
  <calcPr calcId="162913"/>
</workbook>
</file>

<file path=xl/calcChain.xml><?xml version="1.0" encoding="utf-8"?>
<calcChain xmlns="http://schemas.openxmlformats.org/spreadsheetml/2006/main">
  <c r="B21" i="1" l="1"/>
  <c r="B21" i="5"/>
  <c r="F51" i="5" l="1"/>
  <c r="F30" i="5"/>
  <c r="B53" i="5"/>
  <c r="E51" i="5"/>
  <c r="D51" i="5"/>
  <c r="C51" i="5"/>
  <c r="B51" i="5"/>
  <c r="B52" i="5" s="1"/>
  <c r="B32" i="5"/>
  <c r="E30" i="5"/>
  <c r="D30" i="5"/>
  <c r="C30" i="5"/>
  <c r="B30" i="5"/>
  <c r="B31" i="5" s="1"/>
  <c r="C124" i="4"/>
  <c r="B116" i="4"/>
  <c r="D100" i="4" s="1"/>
  <c r="B98" i="4"/>
  <c r="F95" i="4"/>
  <c r="D95" i="4"/>
  <c r="B87" i="4"/>
  <c r="F97" i="4" s="1"/>
  <c r="B81" i="4"/>
  <c r="B83" i="4" s="1"/>
  <c r="B80" i="4"/>
  <c r="B79" i="4"/>
  <c r="C76" i="4"/>
  <c r="B68" i="4"/>
  <c r="C56" i="4"/>
  <c r="B55" i="4"/>
  <c r="B45" i="4"/>
  <c r="D48" i="4" s="1"/>
  <c r="F42" i="4"/>
  <c r="D42" i="4"/>
  <c r="B34" i="4"/>
  <c r="D44" i="4" s="1"/>
  <c r="B30" i="4"/>
  <c r="C124" i="3"/>
  <c r="B116" i="3"/>
  <c r="D100" i="3"/>
  <c r="B98" i="3"/>
  <c r="F95" i="3"/>
  <c r="D95" i="3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B34" i="3"/>
  <c r="D44" i="3" s="1"/>
  <c r="B30" i="3"/>
  <c r="C46" i="2"/>
  <c r="C50" i="2" s="1"/>
  <c r="C4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37" i="2" l="1"/>
  <c r="D29" i="2"/>
  <c r="D101" i="3"/>
  <c r="G93" i="3" s="1"/>
  <c r="I92" i="4"/>
  <c r="I39" i="4"/>
  <c r="I39" i="3"/>
  <c r="D101" i="4"/>
  <c r="D45" i="4"/>
  <c r="D46" i="4" s="1"/>
  <c r="F44" i="4"/>
  <c r="I92" i="3"/>
  <c r="D97" i="3"/>
  <c r="D98" i="3" s="1"/>
  <c r="D99" i="3" s="1"/>
  <c r="F44" i="3"/>
  <c r="D45" i="3"/>
  <c r="D46" i="3" s="1"/>
  <c r="F98" i="3"/>
  <c r="F99" i="3" s="1"/>
  <c r="D102" i="3"/>
  <c r="G94" i="3"/>
  <c r="G92" i="3"/>
  <c r="G91" i="3"/>
  <c r="D49" i="3"/>
  <c r="D31" i="2"/>
  <c r="D39" i="2"/>
  <c r="D25" i="2"/>
  <c r="D33" i="2"/>
  <c r="D41" i="2"/>
  <c r="C49" i="2"/>
  <c r="E41" i="4"/>
  <c r="D102" i="4"/>
  <c r="D27" i="2"/>
  <c r="D35" i="2"/>
  <c r="D43" i="2"/>
  <c r="F45" i="4"/>
  <c r="G39" i="4" s="1"/>
  <c r="F98" i="4"/>
  <c r="F99" i="4" s="1"/>
  <c r="F45" i="3"/>
  <c r="F46" i="3" s="1"/>
  <c r="B57" i="4"/>
  <c r="D50" i="2"/>
  <c r="B49" i="2"/>
  <c r="D42" i="2"/>
  <c r="D38" i="2"/>
  <c r="D34" i="2"/>
  <c r="D30" i="2"/>
  <c r="D26" i="2"/>
  <c r="B57" i="3"/>
  <c r="B69" i="3" s="1"/>
  <c r="D49" i="2"/>
  <c r="D40" i="2"/>
  <c r="D36" i="2"/>
  <c r="D32" i="2"/>
  <c r="D28" i="2"/>
  <c r="D24" i="2"/>
  <c r="D97" i="4"/>
  <c r="D98" i="4" s="1"/>
  <c r="D99" i="4" s="1"/>
  <c r="D49" i="4"/>
  <c r="E40" i="4" l="1"/>
  <c r="E38" i="4"/>
  <c r="E39" i="4"/>
  <c r="E42" i="4" s="1"/>
  <c r="G93" i="4"/>
  <c r="G92" i="4"/>
  <c r="E38" i="3"/>
  <c r="E39" i="3"/>
  <c r="G41" i="3"/>
  <c r="E40" i="3"/>
  <c r="E41" i="3"/>
  <c r="G95" i="3"/>
  <c r="E93" i="3"/>
  <c r="F46" i="4"/>
  <c r="G41" i="4"/>
  <c r="G40" i="4"/>
  <c r="E91" i="4"/>
  <c r="E92" i="3"/>
  <c r="G91" i="4"/>
  <c r="G94" i="4"/>
  <c r="G40" i="3"/>
  <c r="G39" i="3"/>
  <c r="G63" i="4"/>
  <c r="H63" i="4" s="1"/>
  <c r="G71" i="4"/>
  <c r="H71" i="4" s="1"/>
  <c r="E93" i="4"/>
  <c r="B69" i="4"/>
  <c r="E91" i="3"/>
  <c r="G38" i="4"/>
  <c r="E92" i="4"/>
  <c r="E94" i="4"/>
  <c r="G38" i="3"/>
  <c r="E94" i="3"/>
  <c r="G67" i="4"/>
  <c r="H67" i="4" s="1"/>
  <c r="G95" i="4" l="1"/>
  <c r="G42" i="4"/>
  <c r="D50" i="4"/>
  <c r="D52" i="4"/>
  <c r="E42" i="3"/>
  <c r="G42" i="3"/>
  <c r="D50" i="3"/>
  <c r="D51" i="3" s="1"/>
  <c r="D52" i="3"/>
  <c r="E95" i="3"/>
  <c r="D105" i="3"/>
  <c r="D103" i="3"/>
  <c r="D103" i="4"/>
  <c r="E95" i="4"/>
  <c r="D105" i="4"/>
  <c r="D51" i="4" l="1"/>
  <c r="G66" i="4"/>
  <c r="H66" i="4" s="1"/>
  <c r="G60" i="4"/>
  <c r="G65" i="4"/>
  <c r="H65" i="4" s="1"/>
  <c r="G69" i="4"/>
  <c r="H69" i="4" s="1"/>
  <c r="G64" i="4"/>
  <c r="H64" i="4" s="1"/>
  <c r="G70" i="4"/>
  <c r="H70" i="4" s="1"/>
  <c r="G68" i="4"/>
  <c r="H68" i="4" s="1"/>
  <c r="G62" i="4"/>
  <c r="H62" i="4" s="1"/>
  <c r="G61" i="4"/>
  <c r="H61" i="4" s="1"/>
  <c r="G70" i="3"/>
  <c r="H70" i="3" s="1"/>
  <c r="G65" i="3"/>
  <c r="H65" i="3" s="1"/>
  <c r="G67" i="3"/>
  <c r="H67" i="3" s="1"/>
  <c r="G71" i="3"/>
  <c r="H71" i="3" s="1"/>
  <c r="G66" i="3"/>
  <c r="H66" i="3" s="1"/>
  <c r="G63" i="3"/>
  <c r="H63" i="3" s="1"/>
  <c r="G61" i="3"/>
  <c r="H61" i="3" s="1"/>
  <c r="G69" i="3"/>
  <c r="H69" i="3" s="1"/>
  <c r="G68" i="3"/>
  <c r="H68" i="3" s="1"/>
  <c r="G64" i="3"/>
  <c r="H64" i="3" s="1"/>
  <c r="G62" i="3"/>
  <c r="H62" i="3" s="1"/>
  <c r="G60" i="3"/>
  <c r="H60" i="3" s="1"/>
  <c r="E113" i="4"/>
  <c r="F113" i="4" s="1"/>
  <c r="E111" i="4"/>
  <c r="F111" i="4" s="1"/>
  <c r="E109" i="4"/>
  <c r="F109" i="4" s="1"/>
  <c r="D104" i="4"/>
  <c r="E112" i="4"/>
  <c r="F112" i="4" s="1"/>
  <c r="E110" i="4"/>
  <c r="F110" i="4" s="1"/>
  <c r="E108" i="4"/>
  <c r="E112" i="3"/>
  <c r="F112" i="3" s="1"/>
  <c r="E110" i="3"/>
  <c r="F110" i="3" s="1"/>
  <c r="E108" i="3"/>
  <c r="E113" i="3"/>
  <c r="F113" i="3" s="1"/>
  <c r="E111" i="3"/>
  <c r="F111" i="3" s="1"/>
  <c r="E109" i="3"/>
  <c r="F109" i="3" s="1"/>
  <c r="D104" i="3"/>
  <c r="G72" i="4" l="1"/>
  <c r="G73" i="4" s="1"/>
  <c r="H60" i="4"/>
  <c r="G74" i="4"/>
  <c r="G74" i="3"/>
  <c r="G72" i="3"/>
  <c r="G73" i="3" s="1"/>
  <c r="H74" i="3"/>
  <c r="H72" i="3"/>
  <c r="E120" i="4"/>
  <c r="E117" i="4"/>
  <c r="F108" i="4"/>
  <c r="E115" i="4"/>
  <c r="E116" i="4" s="1"/>
  <c r="E119" i="4"/>
  <c r="E115" i="3"/>
  <c r="E116" i="3" s="1"/>
  <c r="E120" i="3"/>
  <c r="E117" i="3"/>
  <c r="E119" i="3"/>
  <c r="F108" i="3"/>
  <c r="H74" i="4" l="1"/>
  <c r="H72" i="4"/>
  <c r="G76" i="3"/>
  <c r="H73" i="3"/>
  <c r="F125" i="4"/>
  <c r="F120" i="4"/>
  <c r="F117" i="4"/>
  <c r="D125" i="4"/>
  <c r="F115" i="4"/>
  <c r="F119" i="4"/>
  <c r="F119" i="3"/>
  <c r="F125" i="3"/>
  <c r="F120" i="3"/>
  <c r="F117" i="3"/>
  <c r="D125" i="3"/>
  <c r="F115" i="3"/>
  <c r="G76" i="4" l="1"/>
  <c r="H73" i="4"/>
  <c r="G124" i="4"/>
  <c r="F116" i="4"/>
  <c r="G124" i="3"/>
  <c r="F116" i="3"/>
</calcChain>
</file>

<file path=xl/sharedStrings.xml><?xml version="1.0" encoding="utf-8"?>
<sst xmlns="http://schemas.openxmlformats.org/spreadsheetml/2006/main" count="458" uniqueCount="138">
  <si>
    <t>HPLC System Suitability Report</t>
  </si>
  <si>
    <t>Analysis Data</t>
  </si>
  <si>
    <t>Assay</t>
  </si>
  <si>
    <t>Sample(s)</t>
  </si>
  <si>
    <t>Reference Substance:</t>
  </si>
  <si>
    <t>SULFRAN-DS TABLETS</t>
  </si>
  <si>
    <t>% age Purity:</t>
  </si>
  <si>
    <t>NDQB201804392</t>
  </si>
  <si>
    <t>Weight (mg):</t>
  </si>
  <si>
    <t>Sulphamethoxazole 800 mg, Trimethoprim 160 mg</t>
  </si>
  <si>
    <t>Standard Conc (mg/mL):</t>
  </si>
  <si>
    <t>Each tablet contain Sulphamethoxazole B.P 800 mg and Trimethoprim B.P 160 mg.</t>
  </si>
  <si>
    <t>2018-04-25 08:12:17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</si>
  <si>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</si>
  <si>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</si>
  <si>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</si>
  <si>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</si>
  <si>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</si>
  <si>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</si>
  <si>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</si>
  <si>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</si>
  <si>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</si>
  <si>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</si>
  <si>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</si>
  <si>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</si>
  <si>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</si>
  <si>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</si>
  <si>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</si>
  <si>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</si>
  <si>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</si>
  <si>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</si>
  <si>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</si>
  <si>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</si>
  <si>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</si>
  <si>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</si>
  <si>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</si>
  <si>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</si>
  <si>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</si>
  <si>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</si>
  <si>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</si>
  <si>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</si>
  <si>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</si>
  <si>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</si>
  <si>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</si>
  <si>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</si>
  <si>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</si>
  <si>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</si>
  <si>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</si>
  <si>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</si>
  <si>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</si>
  <si>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</si>
  <si>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</si>
  <si>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</si>
  <si>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</si>
  <si>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</si>
  <si>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</si>
  <si>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</si>
  <si>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</si>
  <si>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</si>
  <si>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</si>
  <si>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</si>
  <si>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</si>
  <si>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</si>
  <si>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</si>
  <si>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</si>
  <si>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</si>
  <si>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</si>
  <si>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</si>
  <si>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</si>
  <si>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</si>
  <si>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</si>
  <si>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</si>
  <si>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</si>
  <si>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</si>
  <si>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</si>
  <si>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</si>
  <si>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</si>
  <si>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</si>
  <si>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</si>
  <si>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</si>
  <si>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</si>
  <si>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</si>
  <si>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</si>
  <si>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</si>
  <si>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</si>
  <si>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</si>
  <si>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</si>
  <si>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</si>
  <si>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</si>
  <si>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</si>
  <si>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</si>
  <si>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</si>
  <si>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</si>
  <si>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</si>
  <si>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</si>
  <si>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</si>
  <si>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</si>
  <si>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</si>
  <si>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</si>
  <si>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</si>
  <si>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</si>
  <si>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</si>
  <si>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</si>
  <si>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</si>
  <si>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</si>
  <si>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</si>
  <si>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</si>
  <si>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</si>
  <si>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</si>
  <si>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</si>
  <si>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</si>
  <si>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</si>
  <si>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</si>
  <si>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</si>
  <si>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</si>
  <si>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</si>
  <si>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</si>
  <si>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</si>
  <si>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</si>
  <si>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</si>
  <si>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</si>
  <si>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</si>
  <si>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</si>
  <si>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</si>
  <si>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</si>
  <si>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</si>
  <si>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</si>
  <si>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</si>
  <si>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</si>
  <si>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</si>
  <si>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TRIMETHOPRIM</t>
  </si>
  <si>
    <t>SULFAMETHOXAZOLE</t>
  </si>
  <si>
    <t>S12-6</t>
  </si>
  <si>
    <t>T7-5</t>
  </si>
  <si>
    <t>RESOLUTION</t>
  </si>
  <si>
    <r>
      <t>The Asymmetry of all peaks were below</t>
    </r>
    <r>
      <rPr>
        <b/>
        <sz val="12"/>
        <color rgb="FF000000"/>
        <rFont val="Book Antiqua"/>
        <family val="1"/>
      </rPr>
      <t xml:space="preserve"> 2.0</t>
    </r>
  </si>
  <si>
    <r>
      <t>The Resolution between Trimethoprim and Sulfamethoxazole peaks is</t>
    </r>
    <r>
      <rPr>
        <b/>
        <sz val="12"/>
        <color rgb="FF000000"/>
        <rFont val="Book Antiqua"/>
        <family val="1"/>
      </rPr>
      <t xml:space="preserve"> greater than 5.0</t>
    </r>
    <r>
      <rPr>
        <sz val="12"/>
        <color rgb="FF000000"/>
        <rFont val="Book Antiqua"/>
        <family val="1"/>
      </rPr>
      <t xml:space="preserve"> </t>
    </r>
  </si>
  <si>
    <r>
      <t>The Resolution between Trimethoprim and Sulfamethoxazole peaks is greater</t>
    </r>
    <r>
      <rPr>
        <b/>
        <sz val="12"/>
        <color rgb="FF000000"/>
        <rFont val="Book Antiqua"/>
        <family val="1"/>
      </rPr>
      <t xml:space="preserve"> than 5.0</t>
    </r>
    <r>
      <rPr>
        <sz val="12"/>
        <color rgb="FF000000"/>
        <rFont val="Book Antiqua"/>
        <family val="1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</si>
</sst>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8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0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545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0" fontId="25" fillId="2" borderId="0" xfId="0" applyFont="1" applyFill="1" applyAlignment="1">
      <alignment horizontal="center"/>
    </xf>
    <xf numFmtId="2" fontId="25" fillId="2" borderId="0" xfId="0" applyNumberFormat="1" applyFont="1" applyFill="1" applyAlignment="1">
      <alignment horizontal="center"/>
    </xf>
    <xf numFmtId="0" fontId="26" fillId="3" borderId="29" xfId="0" applyFont="1" applyFill="1" applyBorder="1" applyAlignment="1" applyProtection="1">
      <alignment horizontal="center"/>
      <protection locked="0"/>
    </xf>
    <xf numFmtId="0" fontId="26" fillId="3" borderId="23" xfId="0" applyFont="1" applyFill="1" applyBorder="1" applyAlignment="1" applyProtection="1">
      <alignment horizontal="center"/>
      <protection locked="0"/>
    </xf>
    <xf numFmtId="2" fontId="7" fillId="3" borderId="31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 applyAlignment="1">
      <alignment horizontal="center"/>
    </xf>
    <xf numFmtId="2" fontId="5" fillId="4" borderId="5" xfId="0" applyNumberFormat="1" applyFont="1" applyFill="1" applyBorder="1" applyAlignment="1">
      <alignment horizontal="center"/>
    </xf>
    <xf numFmtId="2" fontId="7" fillId="3" borderId="57" xfId="0" applyNumberFormat="1" applyFont="1" applyFill="1" applyBorder="1" applyAlignment="1" applyProtection="1">
      <alignment horizontal="center"/>
      <protection locked="0"/>
    </xf>
    <xf numFmtId="2" fontId="7" fillId="3" borderId="58" xfId="0" applyNumberFormat="1" applyFont="1" applyFill="1" applyBorder="1" applyAlignment="1" applyProtection="1">
      <alignment horizontal="center"/>
      <protection locked="0"/>
    </xf>
    <xf numFmtId="2" fontId="7" fillId="3" borderId="59" xfId="0" applyNumberFormat="1" applyFont="1" applyFill="1" applyBorder="1" applyAlignment="1" applyProtection="1">
      <alignment horizontal="center"/>
      <protection locked="0"/>
    </xf>
    <xf numFmtId="0" fontId="5" fillId="2" borderId="26" xfId="0" applyFont="1" applyFill="1" applyBorder="1" applyAlignment="1">
      <alignment horizontal="center"/>
    </xf>
    <xf numFmtId="2" fontId="7" fillId="3" borderId="60" xfId="0" applyNumberFormat="1" applyFont="1" applyFill="1" applyBorder="1" applyAlignment="1" applyProtection="1">
      <alignment horizontal="center"/>
      <protection locked="0"/>
    </xf>
    <xf numFmtId="2" fontId="7" fillId="3" borderId="61" xfId="0" applyNumberFormat="1" applyFont="1" applyFill="1" applyBorder="1" applyAlignment="1" applyProtection="1">
      <alignment horizontal="center"/>
      <protection locked="0"/>
    </xf>
    <xf numFmtId="2" fontId="7" fillId="3" borderId="62" xfId="0" applyNumberFormat="1" applyFont="1" applyFill="1" applyBorder="1" applyAlignment="1" applyProtection="1">
      <alignment horizontal="center"/>
      <protection locked="0"/>
    </xf>
    <xf numFmtId="2" fontId="5" fillId="4" borderId="35" xfId="0" applyNumberFormat="1" applyFont="1" applyFill="1" applyBorder="1" applyAlignment="1">
      <alignment horizontal="center"/>
    </xf>
    <xf numFmtId="0" fontId="25" fillId="2" borderId="57" xfId="0" applyFont="1" applyFill="1" applyBorder="1" applyAlignment="1">
      <alignment horizontal="center"/>
    </xf>
    <xf numFmtId="2" fontId="2" fillId="2" borderId="58" xfId="0" applyNumberFormat="1" applyFont="1" applyFill="1" applyBorder="1" applyAlignment="1">
      <alignment horizontal="center"/>
    </xf>
    <xf numFmtId="2" fontId="25" fillId="2" borderId="59" xfId="0" applyNumberFormat="1" applyFont="1" applyFill="1" applyBorder="1" applyAlignment="1">
      <alignment horizontal="center"/>
    </xf>
    <xf numFmtId="2" fontId="2" fillId="2" borderId="57" xfId="0" applyNumberFormat="1" applyFont="1" applyFill="1" applyBorder="1" applyAlignment="1">
      <alignment horizontal="center"/>
    </xf>
    <xf numFmtId="2" fontId="2" fillId="2" borderId="59" xfId="0" applyNumberFormat="1" applyFont="1" applyFill="1" applyBorder="1" applyAlignment="1">
      <alignment horizontal="center"/>
    </xf>
    <xf numFmtId="2" fontId="13" fillId="3" borderId="16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26" fillId="3" borderId="0" xfId="0" applyFont="1" applyFill="1" applyAlignment="1" applyProtection="1">
      <alignment horizontal="left" wrapText="1"/>
      <protection locked="0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27" fillId="3" borderId="0" xfId="0" applyFont="1" applyFill="1" applyAlignment="1" applyProtection="1">
      <alignment horizontal="left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9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abSelected="1" topLeftCell="A34" workbookViewId="0">
      <selection activeCell="B37" sqref="B37"/>
    </sheetView>
  </sheetViews>
  <sheetFormatPr defaultRowHeight="13.5" x14ac:dyDescent="0.25"/>
  <cols>
    <col min="1" max="1" width="27.5703125" style="405" customWidth="1"/>
    <col min="2" max="2" width="21.42578125" style="405" customWidth="1"/>
    <col min="3" max="3" width="31.85546875" style="405" customWidth="1"/>
    <col min="4" max="4" width="25.85546875" style="405" customWidth="1"/>
    <col min="5" max="5" width="25.7109375" style="405" customWidth="1"/>
    <col min="6" max="6" width="23.140625" style="405" customWidth="1"/>
    <col min="7" max="7" width="28.42578125" style="405" customWidth="1"/>
    <col min="8" max="8" width="21.5703125" style="405" customWidth="1"/>
    <col min="9" max="9" width="9.140625" style="405" customWidth="1"/>
    <col min="10" max="16384" width="9.140625" style="43"/>
  </cols>
  <sheetData>
    <row r="14" spans="1:6" ht="15" customHeight="1" x14ac:dyDescent="0.3">
      <c r="A14" s="1"/>
      <c r="C14" s="3"/>
      <c r="F14" s="3"/>
    </row>
    <row r="15" spans="1:6" ht="18.75" customHeight="1" x14ac:dyDescent="0.3">
      <c r="A15" s="492" t="s">
        <v>0</v>
      </c>
      <c r="B15" s="492"/>
      <c r="C15" s="492"/>
      <c r="D15" s="492"/>
      <c r="E15" s="492"/>
    </row>
    <row r="16" spans="1:6" ht="16.5" customHeight="1" x14ac:dyDescent="0.3">
      <c r="A16" s="89" t="s">
        <v>1</v>
      </c>
      <c r="B16" s="58" t="s">
        <v>2</v>
      </c>
    </row>
    <row r="17" spans="1:6" ht="16.5" customHeight="1" x14ac:dyDescent="0.3">
      <c r="A17" s="8" t="s">
        <v>3</v>
      </c>
      <c r="B17" s="8" t="s">
        <v>5</v>
      </c>
      <c r="D17" s="9"/>
      <c r="E17" s="71"/>
    </row>
    <row r="18" spans="1:6" ht="16.5" customHeight="1" x14ac:dyDescent="0.3">
      <c r="A18" s="74" t="s">
        <v>4</v>
      </c>
      <c r="B18" s="471" t="s">
        <v>131</v>
      </c>
      <c r="C18" s="71"/>
      <c r="D18" s="71"/>
      <c r="E18" s="71"/>
    </row>
    <row r="19" spans="1:6" ht="16.5" customHeight="1" x14ac:dyDescent="0.3">
      <c r="A19" s="74" t="s">
        <v>6</v>
      </c>
      <c r="B19" s="12">
        <v>99.02</v>
      </c>
      <c r="C19" s="71"/>
      <c r="D19" s="71"/>
      <c r="E19" s="71"/>
    </row>
    <row r="20" spans="1:6" ht="16.5" customHeight="1" x14ac:dyDescent="0.3">
      <c r="A20" s="8" t="s">
        <v>8</v>
      </c>
      <c r="B20" s="12">
        <v>17.04</v>
      </c>
      <c r="C20" s="71"/>
      <c r="D20" s="71"/>
      <c r="E20" s="71"/>
    </row>
    <row r="21" spans="1:6" ht="16.5" customHeight="1" x14ac:dyDescent="0.3">
      <c r="A21" s="8" t="s">
        <v>10</v>
      </c>
      <c r="B21" s="13">
        <f>B20/100</f>
        <v>0.1704</v>
      </c>
      <c r="C21" s="71"/>
      <c r="D21" s="71"/>
      <c r="E21" s="71"/>
    </row>
    <row r="22" spans="1:6" ht="15.75" customHeight="1" x14ac:dyDescent="0.25">
      <c r="A22" s="71"/>
      <c r="B22" s="71" t="s">
        <v>12</v>
      </c>
      <c r="C22" s="71"/>
      <c r="D22" s="71"/>
      <c r="E22" s="71"/>
    </row>
    <row r="23" spans="1:6" ht="16.5" customHeight="1" x14ac:dyDescent="0.3">
      <c r="A23" s="16" t="s">
        <v>13</v>
      </c>
      <c r="B23" s="15" t="s">
        <v>14</v>
      </c>
      <c r="C23" s="16" t="s">
        <v>15</v>
      </c>
      <c r="D23" s="16" t="s">
        <v>16</v>
      </c>
      <c r="E23" s="481" t="s">
        <v>17</v>
      </c>
      <c r="F23" s="486" t="s">
        <v>134</v>
      </c>
    </row>
    <row r="24" spans="1:6" ht="16.5" customHeight="1" x14ac:dyDescent="0.3">
      <c r="A24" s="17">
        <v>1</v>
      </c>
      <c r="B24" s="18">
        <v>78594953</v>
      </c>
      <c r="C24" s="18">
        <v>7179.5</v>
      </c>
      <c r="D24" s="475">
        <v>1.1000000000000001</v>
      </c>
      <c r="E24" s="482">
        <v>9.5</v>
      </c>
      <c r="F24" s="489">
        <v>11.453810000000001</v>
      </c>
    </row>
    <row r="25" spans="1:6" ht="16.5" customHeight="1" x14ac:dyDescent="0.3">
      <c r="A25" s="17">
        <v>2</v>
      </c>
      <c r="B25" s="18">
        <v>78800832</v>
      </c>
      <c r="C25" s="18">
        <v>7167.2</v>
      </c>
      <c r="D25" s="475">
        <v>1.1000000000000001</v>
      </c>
      <c r="E25" s="483">
        <v>9.5</v>
      </c>
      <c r="F25" s="487">
        <v>11.43268</v>
      </c>
    </row>
    <row r="26" spans="1:6" ht="16.5" customHeight="1" x14ac:dyDescent="0.3">
      <c r="A26" s="17">
        <v>3</v>
      </c>
      <c r="B26" s="18">
        <v>78400985</v>
      </c>
      <c r="C26" s="18">
        <v>7077.6</v>
      </c>
      <c r="D26" s="475">
        <v>1.1000000000000001</v>
      </c>
      <c r="E26" s="483">
        <v>9.5</v>
      </c>
      <c r="F26" s="487">
        <v>11.38456</v>
      </c>
    </row>
    <row r="27" spans="1:6" ht="16.5" customHeight="1" x14ac:dyDescent="0.3">
      <c r="A27" s="17">
        <v>4</v>
      </c>
      <c r="B27" s="18">
        <v>78372105</v>
      </c>
      <c r="C27" s="18">
        <v>7089.2</v>
      </c>
      <c r="D27" s="475">
        <v>1.1000000000000001</v>
      </c>
      <c r="E27" s="483">
        <v>9.5</v>
      </c>
      <c r="F27" s="487">
        <v>11.385439999999999</v>
      </c>
    </row>
    <row r="28" spans="1:6" ht="16.5" customHeight="1" x14ac:dyDescent="0.3">
      <c r="A28" s="17">
        <v>5</v>
      </c>
      <c r="B28" s="18">
        <v>78379364</v>
      </c>
      <c r="C28" s="18">
        <v>7067.6</v>
      </c>
      <c r="D28" s="475">
        <v>1.1000000000000001</v>
      </c>
      <c r="E28" s="483">
        <v>9.5</v>
      </c>
      <c r="F28" s="487">
        <v>11.355689999999999</v>
      </c>
    </row>
    <row r="29" spans="1:6" ht="16.5" customHeight="1" x14ac:dyDescent="0.3">
      <c r="A29" s="17">
        <v>6</v>
      </c>
      <c r="B29" s="21">
        <v>78290319</v>
      </c>
      <c r="C29" s="21">
        <v>7064.2</v>
      </c>
      <c r="D29" s="475">
        <v>1.1000000000000001</v>
      </c>
      <c r="E29" s="484">
        <v>9.5</v>
      </c>
      <c r="F29" s="490">
        <v>11.353529999999999</v>
      </c>
    </row>
    <row r="30" spans="1:6" ht="16.5" customHeight="1" x14ac:dyDescent="0.3">
      <c r="A30" s="22" t="s">
        <v>18</v>
      </c>
      <c r="B30" s="23">
        <f>AVERAGE(B24:B29)</f>
        <v>78473093</v>
      </c>
      <c r="C30" s="24">
        <f>AVERAGE(C24:C29)</f>
        <v>7107.55</v>
      </c>
      <c r="D30" s="25">
        <f>AVERAGE(D24:D29)</f>
        <v>1.0999999999999999</v>
      </c>
      <c r="E30" s="485">
        <f>AVERAGE(E24:E29)</f>
        <v>9.5</v>
      </c>
      <c r="F30" s="488">
        <f>AVERAGE(F24:F29)</f>
        <v>11.394285000000002</v>
      </c>
    </row>
    <row r="31" spans="1:6" ht="16.5" customHeight="1" x14ac:dyDescent="0.3">
      <c r="A31" s="26" t="s">
        <v>19</v>
      </c>
      <c r="B31" s="27">
        <f>(STDEV(B24:B29)/B30)</f>
        <v>2.4168641505044682E-3</v>
      </c>
      <c r="C31" s="28"/>
      <c r="D31" s="28"/>
      <c r="E31" s="29"/>
    </row>
    <row r="32" spans="1:6" s="405" customFormat="1" ht="16.5" customHeight="1" x14ac:dyDescent="0.3">
      <c r="A32" s="30" t="s">
        <v>20</v>
      </c>
      <c r="B32" s="31">
        <f>COUNT(B24:B29)</f>
        <v>6</v>
      </c>
      <c r="C32" s="32"/>
      <c r="D32" s="72"/>
      <c r="E32" s="34"/>
    </row>
    <row r="33" spans="1:6" s="405" customFormat="1" ht="15.75" customHeight="1" x14ac:dyDescent="0.25">
      <c r="A33" s="71"/>
      <c r="B33" s="71"/>
      <c r="C33" s="71"/>
      <c r="D33" s="71"/>
      <c r="E33" s="71"/>
    </row>
    <row r="34" spans="1:6" s="405" customFormat="1" ht="16.5" customHeight="1" x14ac:dyDescent="0.3">
      <c r="A34" s="74" t="s">
        <v>21</v>
      </c>
      <c r="B34" s="39" t="s">
        <v>22</v>
      </c>
      <c r="C34" s="38"/>
      <c r="D34" s="38"/>
      <c r="E34" s="38"/>
    </row>
    <row r="35" spans="1:6" ht="16.5" customHeight="1" x14ac:dyDescent="0.3">
      <c r="A35" s="74"/>
      <c r="B35" s="39" t="s">
        <v>23</v>
      </c>
      <c r="C35" s="38"/>
      <c r="D35" s="38"/>
      <c r="E35" s="38"/>
    </row>
    <row r="36" spans="1:6" ht="16.5" customHeight="1" x14ac:dyDescent="0.3">
      <c r="A36" s="74"/>
      <c r="B36" s="39" t="s">
        <v>135</v>
      </c>
      <c r="C36" s="38"/>
      <c r="D36" s="38"/>
      <c r="E36" s="38"/>
    </row>
    <row r="37" spans="1:6" ht="15.75" customHeight="1" x14ac:dyDescent="0.3">
      <c r="A37" s="71"/>
      <c r="B37" s="71" t="s">
        <v>136</v>
      </c>
      <c r="C37" s="71"/>
      <c r="D37" s="71"/>
      <c r="E37" s="71"/>
    </row>
    <row r="38" spans="1:6" ht="16.5" customHeight="1" x14ac:dyDescent="0.3">
      <c r="A38" s="89" t="s">
        <v>1</v>
      </c>
      <c r="B38" s="58" t="s">
        <v>24</v>
      </c>
    </row>
    <row r="39" spans="1:6" ht="16.5" customHeight="1" x14ac:dyDescent="0.3">
      <c r="A39" s="74" t="s">
        <v>4</v>
      </c>
      <c r="B39" s="471" t="s">
        <v>131</v>
      </c>
      <c r="C39" s="71"/>
      <c r="D39" s="71"/>
      <c r="E39" s="71"/>
    </row>
    <row r="40" spans="1:6" ht="16.5" customHeight="1" x14ac:dyDescent="0.3">
      <c r="A40" s="74" t="s">
        <v>6</v>
      </c>
      <c r="B40" s="12">
        <v>99.02</v>
      </c>
      <c r="C40" s="71"/>
      <c r="D40" s="71"/>
      <c r="E40" s="71"/>
    </row>
    <row r="41" spans="1:6" ht="16.5" customHeight="1" x14ac:dyDescent="0.3">
      <c r="A41" s="8" t="s">
        <v>8</v>
      </c>
      <c r="B41" s="12">
        <v>17.04</v>
      </c>
      <c r="C41" s="71"/>
      <c r="D41" s="71"/>
      <c r="E41" s="71"/>
    </row>
    <row r="42" spans="1:6" ht="16.5" customHeight="1" x14ac:dyDescent="0.3">
      <c r="A42" s="8" t="s">
        <v>10</v>
      </c>
      <c r="B42" s="13">
        <v>0.1704</v>
      </c>
      <c r="C42" s="71"/>
      <c r="D42" s="71"/>
      <c r="E42" s="71"/>
    </row>
    <row r="43" spans="1:6" ht="15.75" customHeight="1" x14ac:dyDescent="0.25">
      <c r="A43" s="71"/>
      <c r="B43" s="71"/>
      <c r="C43" s="71"/>
      <c r="D43" s="71"/>
      <c r="E43" s="71"/>
    </row>
    <row r="44" spans="1:6" ht="16.5" customHeight="1" x14ac:dyDescent="0.3">
      <c r="A44" s="16" t="s">
        <v>13</v>
      </c>
      <c r="B44" s="15" t="s">
        <v>14</v>
      </c>
      <c r="C44" s="16" t="s">
        <v>15</v>
      </c>
      <c r="D44" s="16" t="s">
        <v>16</v>
      </c>
      <c r="E44" s="16" t="s">
        <v>17</v>
      </c>
      <c r="F44" s="471" t="s">
        <v>134</v>
      </c>
    </row>
    <row r="45" spans="1:6" ht="16.5" customHeight="1" x14ac:dyDescent="0.3">
      <c r="A45" s="17">
        <v>1</v>
      </c>
      <c r="B45" s="18">
        <v>78594953</v>
      </c>
      <c r="C45" s="18">
        <v>7179.5</v>
      </c>
      <c r="D45" s="19">
        <v>1.1000000000000001</v>
      </c>
      <c r="E45" s="20">
        <v>9.5</v>
      </c>
      <c r="F45" s="413">
        <v>11.453810000000001</v>
      </c>
    </row>
    <row r="46" spans="1:6" ht="16.5" customHeight="1" x14ac:dyDescent="0.3">
      <c r="A46" s="17">
        <v>2</v>
      </c>
      <c r="B46" s="18">
        <v>78800832</v>
      </c>
      <c r="C46" s="18">
        <v>7167.2</v>
      </c>
      <c r="D46" s="19">
        <v>1.1000000000000001</v>
      </c>
      <c r="E46" s="20">
        <v>9.5</v>
      </c>
      <c r="F46" s="413">
        <v>11.43268</v>
      </c>
    </row>
    <row r="47" spans="1:6" ht="16.5" customHeight="1" x14ac:dyDescent="0.3">
      <c r="A47" s="17">
        <v>3</v>
      </c>
      <c r="B47" s="18">
        <v>78400985</v>
      </c>
      <c r="C47" s="18">
        <v>7075.6</v>
      </c>
      <c r="D47" s="19">
        <v>1.1000000000000001</v>
      </c>
      <c r="E47" s="20">
        <v>9.5</v>
      </c>
      <c r="F47" s="413">
        <v>11.38456</v>
      </c>
    </row>
    <row r="48" spans="1:6" ht="16.5" customHeight="1" x14ac:dyDescent="0.3">
      <c r="A48" s="17">
        <v>4</v>
      </c>
      <c r="B48" s="18">
        <v>78372105</v>
      </c>
      <c r="C48" s="18">
        <v>7089.2</v>
      </c>
      <c r="D48" s="19">
        <v>1.1000000000000001</v>
      </c>
      <c r="E48" s="20">
        <v>9.5</v>
      </c>
      <c r="F48" s="413">
        <v>11.385439999999999</v>
      </c>
    </row>
    <row r="49" spans="1:7" ht="16.5" customHeight="1" x14ac:dyDescent="0.3">
      <c r="A49" s="17">
        <v>5</v>
      </c>
      <c r="B49" s="18">
        <v>78379364</v>
      </c>
      <c r="C49" s="18">
        <v>7067.6</v>
      </c>
      <c r="D49" s="19">
        <v>1.1000000000000001</v>
      </c>
      <c r="E49" s="20">
        <v>9.5</v>
      </c>
      <c r="F49" s="413">
        <v>11.355689999999999</v>
      </c>
    </row>
    <row r="50" spans="1:7" ht="16.5" customHeight="1" x14ac:dyDescent="0.3">
      <c r="A50" s="17">
        <v>6</v>
      </c>
      <c r="B50" s="21">
        <v>78290319</v>
      </c>
      <c r="C50" s="21">
        <v>7064.2</v>
      </c>
      <c r="D50" s="19">
        <v>1.1000000000000001</v>
      </c>
      <c r="E50" s="20">
        <v>9.5</v>
      </c>
      <c r="F50" s="413">
        <v>11.353529999999999</v>
      </c>
    </row>
    <row r="51" spans="1:7" ht="16.5" customHeight="1" x14ac:dyDescent="0.3">
      <c r="A51" s="22" t="s">
        <v>18</v>
      </c>
      <c r="B51" s="23">
        <f>AVERAGE(B45:B50)</f>
        <v>78473093</v>
      </c>
      <c r="C51" s="24">
        <f>AVERAGE(C45:C50)</f>
        <v>7107.2166666666672</v>
      </c>
      <c r="D51" s="25">
        <f>AVERAGE(D45:D50)</f>
        <v>1.0999999999999999</v>
      </c>
      <c r="E51" s="25">
        <f>AVERAGE(E45:E50)</f>
        <v>9.5</v>
      </c>
      <c r="F51" s="472">
        <f>AVERAGE(F45:F50)</f>
        <v>11.394285000000002</v>
      </c>
    </row>
    <row r="52" spans="1:7" ht="16.5" customHeight="1" x14ac:dyDescent="0.3">
      <c r="A52" s="26" t="s">
        <v>19</v>
      </c>
      <c r="B52" s="27">
        <f>(STDEV(B45:B50)/B51)</f>
        <v>2.4168641505044682E-3</v>
      </c>
      <c r="C52" s="28"/>
      <c r="D52" s="28"/>
      <c r="E52" s="29"/>
    </row>
    <row r="53" spans="1:7" s="405" customFormat="1" ht="16.5" customHeight="1" x14ac:dyDescent="0.3">
      <c r="A53" s="30" t="s">
        <v>20</v>
      </c>
      <c r="B53" s="31">
        <f>COUNT(B45:B50)</f>
        <v>6</v>
      </c>
      <c r="C53" s="32"/>
      <c r="D53" s="72"/>
      <c r="E53" s="34"/>
    </row>
    <row r="54" spans="1:7" s="405" customFormat="1" ht="15.75" customHeight="1" x14ac:dyDescent="0.25">
      <c r="A54" s="71"/>
      <c r="B54" s="71"/>
      <c r="C54" s="71"/>
      <c r="D54" s="71"/>
      <c r="E54" s="71"/>
    </row>
    <row r="55" spans="1:7" s="405" customFormat="1" ht="16.5" customHeight="1" x14ac:dyDescent="0.3">
      <c r="A55" s="74" t="s">
        <v>21</v>
      </c>
      <c r="B55" s="39" t="s">
        <v>22</v>
      </c>
      <c r="C55" s="38"/>
      <c r="D55" s="38"/>
      <c r="E55" s="38"/>
    </row>
    <row r="56" spans="1:7" ht="16.5" customHeight="1" x14ac:dyDescent="0.3">
      <c r="A56" s="74"/>
      <c r="B56" s="39" t="s">
        <v>23</v>
      </c>
      <c r="C56" s="38"/>
      <c r="D56" s="38"/>
      <c r="E56" s="38"/>
    </row>
    <row r="57" spans="1:7" ht="16.5" customHeight="1" x14ac:dyDescent="0.3">
      <c r="A57" s="74"/>
      <c r="B57" s="39" t="s">
        <v>135</v>
      </c>
      <c r="C57" s="38"/>
      <c r="D57" s="38"/>
      <c r="E57" s="38"/>
    </row>
    <row r="58" spans="1:7" ht="14.25" customHeight="1" thickBot="1" x14ac:dyDescent="0.35">
      <c r="A58" s="40"/>
      <c r="B58" s="71" t="s">
        <v>137</v>
      </c>
      <c r="D58" s="42"/>
      <c r="F58" s="43"/>
      <c r="G58" s="43"/>
    </row>
    <row r="59" spans="1:7" ht="15" customHeight="1" x14ac:dyDescent="0.3">
      <c r="B59" s="493" t="s">
        <v>25</v>
      </c>
      <c r="C59" s="493"/>
      <c r="E59" s="44" t="s">
        <v>26</v>
      </c>
      <c r="F59" s="45"/>
      <c r="G59" s="44" t="s">
        <v>27</v>
      </c>
    </row>
    <row r="60" spans="1:7" ht="15" customHeight="1" x14ac:dyDescent="0.3">
      <c r="A60" s="46" t="s">
        <v>28</v>
      </c>
      <c r="B60" s="48"/>
      <c r="C60" s="48"/>
      <c r="E60" s="48"/>
      <c r="G60" s="48"/>
    </row>
    <row r="61" spans="1:7" ht="15" customHeight="1" x14ac:dyDescent="0.3">
      <c r="A61" s="46" t="s">
        <v>29</v>
      </c>
      <c r="B61" s="49"/>
      <c r="C61" s="49"/>
      <c r="E61" s="49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31" workbookViewId="0">
      <selection activeCell="B36" sqref="B36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492" t="s">
        <v>0</v>
      </c>
      <c r="B15" s="492"/>
      <c r="C15" s="492"/>
      <c r="D15" s="492"/>
      <c r="E15" s="492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71" t="s">
        <v>130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99.75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20.23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B20/25*4/100</f>
        <v>3.2368000000000001E-2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476" t="s">
        <v>17</v>
      </c>
    </row>
    <row r="24" spans="1:6" ht="16.5" customHeight="1" x14ac:dyDescent="0.3">
      <c r="A24" s="17">
        <v>1</v>
      </c>
      <c r="B24" s="18">
        <v>5606559</v>
      </c>
      <c r="C24" s="18">
        <v>5213.8</v>
      </c>
      <c r="D24" s="475">
        <v>1.3</v>
      </c>
      <c r="E24" s="478">
        <v>5.3</v>
      </c>
    </row>
    <row r="25" spans="1:6" ht="16.5" customHeight="1" x14ac:dyDescent="0.3">
      <c r="A25" s="17">
        <v>2</v>
      </c>
      <c r="B25" s="18">
        <v>5631080</v>
      </c>
      <c r="C25" s="18">
        <v>5200.8</v>
      </c>
      <c r="D25" s="475">
        <v>1.3</v>
      </c>
      <c r="E25" s="479">
        <v>5.3</v>
      </c>
    </row>
    <row r="26" spans="1:6" ht="16.5" customHeight="1" x14ac:dyDescent="0.3">
      <c r="A26" s="17">
        <v>3</v>
      </c>
      <c r="B26" s="18">
        <v>5594283</v>
      </c>
      <c r="C26" s="18">
        <v>5190.1000000000004</v>
      </c>
      <c r="D26" s="475">
        <v>1.3</v>
      </c>
      <c r="E26" s="479">
        <v>5.3</v>
      </c>
    </row>
    <row r="27" spans="1:6" ht="16.5" customHeight="1" x14ac:dyDescent="0.3">
      <c r="A27" s="17">
        <v>4</v>
      </c>
      <c r="B27" s="18">
        <v>5593130</v>
      </c>
      <c r="C27" s="18">
        <v>5157.3</v>
      </c>
      <c r="D27" s="475">
        <v>1.3</v>
      </c>
      <c r="E27" s="479">
        <v>5.3</v>
      </c>
    </row>
    <row r="28" spans="1:6" ht="16.5" customHeight="1" x14ac:dyDescent="0.3">
      <c r="A28" s="17">
        <v>5</v>
      </c>
      <c r="B28" s="18">
        <v>5595070</v>
      </c>
      <c r="C28" s="18">
        <v>5113.2</v>
      </c>
      <c r="D28" s="475">
        <v>1.3</v>
      </c>
      <c r="E28" s="479">
        <v>5.3</v>
      </c>
    </row>
    <row r="29" spans="1:6" ht="16.5" customHeight="1" x14ac:dyDescent="0.3">
      <c r="A29" s="17">
        <v>6</v>
      </c>
      <c r="B29" s="21">
        <v>5594142</v>
      </c>
      <c r="C29" s="21">
        <v>5111.8999999999996</v>
      </c>
      <c r="D29" s="475">
        <v>1.3</v>
      </c>
      <c r="E29" s="480">
        <v>5.3</v>
      </c>
    </row>
    <row r="30" spans="1:6" ht="16.5" customHeight="1" x14ac:dyDescent="0.3">
      <c r="A30" s="22" t="s">
        <v>18</v>
      </c>
      <c r="B30" s="23">
        <f>AVERAGE(B24:B29)</f>
        <v>5602377.333333333</v>
      </c>
      <c r="C30" s="24">
        <f>AVERAGE(C24:C29)</f>
        <v>5164.5166666666664</v>
      </c>
      <c r="D30" s="25">
        <f>AVERAGE(D24:D29)</f>
        <v>1.3</v>
      </c>
      <c r="E30" s="477">
        <f>AVERAGE(E24:E29)</f>
        <v>5.3</v>
      </c>
    </row>
    <row r="31" spans="1:6" ht="16.5" customHeight="1" x14ac:dyDescent="0.3">
      <c r="A31" s="26" t="s">
        <v>19</v>
      </c>
      <c r="B31" s="27">
        <f>(STDEV(B24:B29)/B30)</f>
        <v>2.663809048416065E-3</v>
      </c>
      <c r="C31" s="28"/>
      <c r="D31" s="28"/>
      <c r="E31" s="29"/>
      <c r="F31" s="2"/>
    </row>
    <row r="32" spans="1:6" s="2" customFormat="1" ht="16.5" customHeight="1" x14ac:dyDescent="0.3">
      <c r="A32" s="30" t="s">
        <v>20</v>
      </c>
      <c r="B32" s="31">
        <f>COUNT(B24:B29)</f>
        <v>6</v>
      </c>
      <c r="C32" s="32"/>
      <c r="D32" s="33"/>
      <c r="E32" s="34"/>
    </row>
    <row r="33" spans="1:6" s="2" customFormat="1" ht="15.75" customHeight="1" x14ac:dyDescent="0.25">
      <c r="A33" s="10"/>
      <c r="B33" s="10"/>
      <c r="C33" s="10"/>
      <c r="D33" s="10"/>
      <c r="E33" s="35"/>
    </row>
    <row r="34" spans="1:6" s="2" customFormat="1" ht="16.5" customHeight="1" x14ac:dyDescent="0.3">
      <c r="A34" s="11" t="s">
        <v>21</v>
      </c>
      <c r="B34" s="36" t="s">
        <v>22</v>
      </c>
      <c r="C34" s="37"/>
      <c r="D34" s="37"/>
      <c r="E34" s="38"/>
    </row>
    <row r="35" spans="1:6" ht="16.5" customHeight="1" x14ac:dyDescent="0.3">
      <c r="A35" s="11"/>
      <c r="B35" s="36" t="s">
        <v>23</v>
      </c>
      <c r="C35" s="37"/>
      <c r="D35" s="37"/>
      <c r="E35" s="38"/>
      <c r="F35" s="2"/>
    </row>
    <row r="36" spans="1:6" ht="16.5" customHeight="1" x14ac:dyDescent="0.3">
      <c r="A36" s="11"/>
      <c r="B36" s="39" t="s">
        <v>135</v>
      </c>
      <c r="C36" s="37"/>
      <c r="D36" s="37"/>
      <c r="E36" s="37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24</v>
      </c>
    </row>
    <row r="39" spans="1:6" ht="16.5" customHeight="1" x14ac:dyDescent="0.3">
      <c r="A39" s="11" t="s">
        <v>4</v>
      </c>
      <c r="B39" s="8" t="s">
        <v>130</v>
      </c>
      <c r="C39" s="10"/>
      <c r="D39" s="10"/>
      <c r="E39" s="10"/>
    </row>
    <row r="40" spans="1:6" ht="16.5" customHeight="1" x14ac:dyDescent="0.3">
      <c r="A40" s="11" t="s">
        <v>6</v>
      </c>
      <c r="B40" s="12">
        <v>99.75</v>
      </c>
      <c r="C40" s="10"/>
      <c r="D40" s="10"/>
      <c r="E40" s="10"/>
    </row>
    <row r="41" spans="1:6" ht="16.5" customHeight="1" x14ac:dyDescent="0.3">
      <c r="A41" s="7" t="s">
        <v>8</v>
      </c>
      <c r="B41" s="12">
        <v>20.23</v>
      </c>
      <c r="C41" s="10"/>
      <c r="D41" s="10"/>
      <c r="E41" s="10"/>
    </row>
    <row r="42" spans="1:6" ht="16.5" customHeight="1" x14ac:dyDescent="0.3">
      <c r="A42" s="7" t="s">
        <v>10</v>
      </c>
      <c r="B42" s="13">
        <v>3.2368000000000001E-2</v>
      </c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476" t="s">
        <v>17</v>
      </c>
    </row>
    <row r="45" spans="1:6" ht="16.5" customHeight="1" x14ac:dyDescent="0.3">
      <c r="A45" s="17">
        <v>1</v>
      </c>
      <c r="B45" s="18">
        <v>5606559</v>
      </c>
      <c r="C45" s="18">
        <v>5213.8</v>
      </c>
      <c r="D45" s="475">
        <v>1.3</v>
      </c>
      <c r="E45" s="478">
        <v>5.3</v>
      </c>
    </row>
    <row r="46" spans="1:6" ht="16.5" customHeight="1" x14ac:dyDescent="0.3">
      <c r="A46" s="17">
        <v>2</v>
      </c>
      <c r="B46" s="18">
        <v>5631080</v>
      </c>
      <c r="C46" s="18">
        <v>5200.8</v>
      </c>
      <c r="D46" s="475">
        <v>1.3</v>
      </c>
      <c r="E46" s="479">
        <v>5.3</v>
      </c>
    </row>
    <row r="47" spans="1:6" ht="16.5" customHeight="1" x14ac:dyDescent="0.3">
      <c r="A47" s="17">
        <v>3</v>
      </c>
      <c r="B47" s="18">
        <v>5594283</v>
      </c>
      <c r="C47" s="18">
        <v>5190.1000000000004</v>
      </c>
      <c r="D47" s="475">
        <v>1.3</v>
      </c>
      <c r="E47" s="479">
        <v>5.3</v>
      </c>
    </row>
    <row r="48" spans="1:6" ht="16.5" customHeight="1" x14ac:dyDescent="0.3">
      <c r="A48" s="17">
        <v>4</v>
      </c>
      <c r="B48" s="18">
        <v>5593130</v>
      </c>
      <c r="C48" s="18">
        <v>5157.3</v>
      </c>
      <c r="D48" s="475">
        <v>1.3</v>
      </c>
      <c r="E48" s="479">
        <v>5.3</v>
      </c>
    </row>
    <row r="49" spans="1:7" ht="16.5" customHeight="1" x14ac:dyDescent="0.3">
      <c r="A49" s="17">
        <v>5</v>
      </c>
      <c r="B49" s="18">
        <v>5595070</v>
      </c>
      <c r="C49" s="18">
        <v>5113.2</v>
      </c>
      <c r="D49" s="475">
        <v>1.3</v>
      </c>
      <c r="E49" s="479">
        <v>5.3</v>
      </c>
    </row>
    <row r="50" spans="1:7" ht="16.5" customHeight="1" x14ac:dyDescent="0.3">
      <c r="A50" s="17">
        <v>6</v>
      </c>
      <c r="B50" s="21">
        <v>5594142</v>
      </c>
      <c r="C50" s="21">
        <v>5111.8999999999996</v>
      </c>
      <c r="D50" s="475">
        <v>1.3</v>
      </c>
      <c r="E50" s="480">
        <v>5.3</v>
      </c>
    </row>
    <row r="51" spans="1:7" ht="16.5" customHeight="1" x14ac:dyDescent="0.3">
      <c r="A51" s="22" t="s">
        <v>18</v>
      </c>
      <c r="B51" s="23">
        <f>AVERAGE(B45:B50)</f>
        <v>5602377.333333333</v>
      </c>
      <c r="C51" s="24">
        <f>AVERAGE(C45:C50)</f>
        <v>5164.5166666666664</v>
      </c>
      <c r="D51" s="25">
        <f>AVERAGE(D45:D50)</f>
        <v>1.3</v>
      </c>
      <c r="E51" s="477">
        <f>AVERAGE(E45:E50)</f>
        <v>5.3</v>
      </c>
    </row>
    <row r="52" spans="1:7" ht="16.5" customHeight="1" x14ac:dyDescent="0.3">
      <c r="A52" s="26" t="s">
        <v>19</v>
      </c>
      <c r="B52" s="27">
        <f>(STDEV(B45:B50)/B51)</f>
        <v>2.663809048416065E-3</v>
      </c>
      <c r="C52" s="28"/>
      <c r="D52" s="28"/>
      <c r="E52" s="29"/>
      <c r="F52" s="2"/>
    </row>
    <row r="53" spans="1:7" s="2" customFormat="1" ht="16.5" customHeight="1" x14ac:dyDescent="0.3">
      <c r="A53" s="30" t="s">
        <v>20</v>
      </c>
      <c r="B53" s="31">
        <f>COUNT(B45:B50)</f>
        <v>6</v>
      </c>
      <c r="C53" s="32"/>
      <c r="D53" s="33"/>
      <c r="E53" s="34"/>
    </row>
    <row r="54" spans="1:7" s="2" customFormat="1" ht="15.75" customHeight="1" x14ac:dyDescent="0.25">
      <c r="A54" s="10"/>
      <c r="B54" s="10"/>
      <c r="C54" s="10"/>
      <c r="D54" s="10"/>
      <c r="E54" s="35"/>
    </row>
    <row r="55" spans="1:7" s="2" customFormat="1" ht="16.5" customHeight="1" x14ac:dyDescent="0.3">
      <c r="A55" s="11" t="s">
        <v>21</v>
      </c>
      <c r="B55" s="36" t="s">
        <v>22</v>
      </c>
      <c r="C55" s="37"/>
      <c r="D55" s="37"/>
      <c r="E55" s="38"/>
    </row>
    <row r="56" spans="1:7" ht="16.5" customHeight="1" x14ac:dyDescent="0.3">
      <c r="A56" s="11"/>
      <c r="B56" s="36" t="s">
        <v>23</v>
      </c>
      <c r="C56" s="37"/>
      <c r="D56" s="37"/>
      <c r="E56" s="38"/>
      <c r="F56" s="2"/>
    </row>
    <row r="57" spans="1:7" ht="16.5" customHeight="1" x14ac:dyDescent="0.3">
      <c r="A57" s="11"/>
      <c r="B57" s="39" t="s">
        <v>135</v>
      </c>
      <c r="C57" s="37"/>
      <c r="D57" s="38"/>
      <c r="E57" s="37"/>
    </row>
    <row r="58" spans="1:7" ht="14.25" customHeight="1" x14ac:dyDescent="0.25">
      <c r="A58" s="40"/>
      <c r="B58" s="41"/>
      <c r="D58" s="42"/>
      <c r="F58" s="43"/>
      <c r="G58" s="43"/>
    </row>
    <row r="59" spans="1:7" ht="15" customHeight="1" x14ac:dyDescent="0.3">
      <c r="B59" s="493" t="s">
        <v>25</v>
      </c>
      <c r="C59" s="493"/>
      <c r="E59" s="44" t="s">
        <v>26</v>
      </c>
      <c r="F59" s="45"/>
      <c r="G59" s="44" t="s">
        <v>27</v>
      </c>
    </row>
    <row r="60" spans="1:7" ht="15" customHeight="1" x14ac:dyDescent="0.3">
      <c r="A60" s="46" t="s">
        <v>28</v>
      </c>
      <c r="B60" s="47"/>
      <c r="C60" s="47"/>
      <c r="E60" s="47"/>
      <c r="F60" s="2"/>
      <c r="G60" s="48"/>
    </row>
    <row r="61" spans="1:7" ht="15" customHeight="1" x14ac:dyDescent="0.3">
      <c r="A61" s="46" t="s">
        <v>29</v>
      </c>
      <c r="B61" s="49"/>
      <c r="C61" s="49"/>
      <c r="E61" s="49"/>
      <c r="F61" s="2"/>
      <c r="G61" s="50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40" workbookViewId="0">
      <selection activeCell="B53" sqref="B53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49.14062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97" t="s">
        <v>30</v>
      </c>
      <c r="B11" s="498"/>
      <c r="C11" s="498"/>
      <c r="D11" s="498"/>
      <c r="E11" s="498"/>
      <c r="F11" s="499"/>
      <c r="G11" s="90"/>
    </row>
    <row r="12" spans="1:7" ht="16.5" customHeight="1" x14ac:dyDescent="0.3">
      <c r="A12" s="496" t="s">
        <v>31</v>
      </c>
      <c r="B12" s="496"/>
      <c r="C12" s="496"/>
      <c r="D12" s="496"/>
      <c r="E12" s="496"/>
      <c r="F12" s="496"/>
      <c r="G12" s="89"/>
    </row>
    <row r="14" spans="1:7" ht="16.5" customHeight="1" x14ac:dyDescent="0.3">
      <c r="A14" s="501" t="s">
        <v>32</v>
      </c>
      <c r="B14" s="501"/>
      <c r="C14" s="59" t="s">
        <v>5</v>
      </c>
    </row>
    <row r="15" spans="1:7" ht="16.5" customHeight="1" x14ac:dyDescent="0.3">
      <c r="A15" s="501" t="s">
        <v>33</v>
      </c>
      <c r="B15" s="501"/>
      <c r="C15" s="59" t="s">
        <v>7</v>
      </c>
    </row>
    <row r="16" spans="1:7" ht="16.5" customHeight="1" x14ac:dyDescent="0.3">
      <c r="A16" s="501" t="s">
        <v>34</v>
      </c>
      <c r="B16" s="501"/>
      <c r="C16" s="59" t="s">
        <v>9</v>
      </c>
    </row>
    <row r="17" spans="1:5" ht="16.5" customHeight="1" x14ac:dyDescent="0.3">
      <c r="A17" s="501" t="s">
        <v>35</v>
      </c>
      <c r="B17" s="501"/>
      <c r="C17" s="59" t="s">
        <v>11</v>
      </c>
    </row>
    <row r="18" spans="1:5" ht="16.5" customHeight="1" x14ac:dyDescent="0.3">
      <c r="A18" s="501" t="s">
        <v>36</v>
      </c>
      <c r="B18" s="501"/>
      <c r="C18" s="96" t="s">
        <v>12</v>
      </c>
    </row>
    <row r="19" spans="1:5" ht="16.5" customHeight="1" x14ac:dyDescent="0.3">
      <c r="A19" s="501" t="s">
        <v>37</v>
      </c>
      <c r="B19" s="501"/>
      <c r="C19" s="96" t="e">
        <f>#REF!</f>
        <v>#REF!</v>
      </c>
    </row>
    <row r="20" spans="1:5" ht="16.5" customHeight="1" x14ac:dyDescent="0.3">
      <c r="A20" s="61"/>
      <c r="B20" s="61"/>
      <c r="C20" s="76"/>
    </row>
    <row r="21" spans="1:5" ht="16.5" customHeight="1" x14ac:dyDescent="0.3">
      <c r="A21" s="496" t="s">
        <v>1</v>
      </c>
      <c r="B21" s="496"/>
      <c r="C21" s="58" t="s">
        <v>38</v>
      </c>
      <c r="D21" s="65"/>
    </row>
    <row r="22" spans="1:5" ht="15.75" customHeight="1" x14ac:dyDescent="0.3">
      <c r="A22" s="500"/>
      <c r="B22" s="500"/>
      <c r="C22" s="56"/>
      <c r="D22" s="500"/>
      <c r="E22" s="500"/>
    </row>
    <row r="23" spans="1:5" ht="33.75" customHeight="1" x14ac:dyDescent="0.3">
      <c r="C23" s="85" t="s">
        <v>39</v>
      </c>
      <c r="D23" s="84" t="s">
        <v>40</v>
      </c>
      <c r="E23" s="51"/>
    </row>
    <row r="24" spans="1:5" ht="15.75" customHeight="1" x14ac:dyDescent="0.3">
      <c r="C24" s="94">
        <v>1048.52</v>
      </c>
      <c r="D24" s="86">
        <f t="shared" ref="D24:D43" si="0">(C24-$C$46)/$C$46</f>
        <v>1.4335938507323901E-3</v>
      </c>
      <c r="E24" s="52"/>
    </row>
    <row r="25" spans="1:5" ht="15.75" customHeight="1" x14ac:dyDescent="0.3">
      <c r="C25" s="94">
        <v>1042</v>
      </c>
      <c r="D25" s="87">
        <f t="shared" si="0"/>
        <v>-4.7936092850273063E-3</v>
      </c>
      <c r="E25" s="52"/>
    </row>
    <row r="26" spans="1:5" ht="15.75" customHeight="1" x14ac:dyDescent="0.3">
      <c r="C26" s="94">
        <v>1030.3599999999999</v>
      </c>
      <c r="D26" s="87">
        <f t="shared" si="0"/>
        <v>-1.5910886048868363E-2</v>
      </c>
      <c r="E26" s="52"/>
    </row>
    <row r="27" spans="1:5" ht="15.75" customHeight="1" x14ac:dyDescent="0.3">
      <c r="C27" s="94">
        <v>1058.54</v>
      </c>
      <c r="D27" s="87">
        <f t="shared" si="0"/>
        <v>1.1003620755688252E-2</v>
      </c>
      <c r="E27" s="52"/>
    </row>
    <row r="28" spans="1:5" ht="15.75" customHeight="1" x14ac:dyDescent="0.3">
      <c r="C28" s="94">
        <v>1047.67</v>
      </c>
      <c r="D28" s="87">
        <f t="shared" si="0"/>
        <v>6.2176522107055101E-4</v>
      </c>
      <c r="E28" s="52"/>
    </row>
    <row r="29" spans="1:5" ht="15.75" customHeight="1" x14ac:dyDescent="0.3">
      <c r="C29" s="94">
        <v>1050.92</v>
      </c>
      <c r="D29" s="87">
        <f t="shared" si="0"/>
        <v>3.7258158638955618E-3</v>
      </c>
      <c r="E29" s="52"/>
    </row>
    <row r="30" spans="1:5" ht="15.75" customHeight="1" x14ac:dyDescent="0.3">
      <c r="C30" s="94">
        <v>1039.6300000000001</v>
      </c>
      <c r="D30" s="87">
        <f t="shared" si="0"/>
        <v>-7.0571785230257485E-3</v>
      </c>
      <c r="E30" s="52"/>
    </row>
    <row r="31" spans="1:5" ht="15.75" customHeight="1" x14ac:dyDescent="0.3">
      <c r="C31" s="94">
        <v>1050.78</v>
      </c>
      <c r="D31" s="87">
        <f t="shared" si="0"/>
        <v>3.5921029131276198E-3</v>
      </c>
      <c r="E31" s="52"/>
    </row>
    <row r="32" spans="1:5" ht="15.75" customHeight="1" x14ac:dyDescent="0.3">
      <c r="C32" s="94">
        <v>1057.33</v>
      </c>
      <c r="D32" s="87">
        <f t="shared" si="0"/>
        <v>9.8479588240518289E-3</v>
      </c>
      <c r="E32" s="52"/>
    </row>
    <row r="33" spans="1:7" ht="15.75" customHeight="1" x14ac:dyDescent="0.3">
      <c r="C33" s="94">
        <v>1032.95</v>
      </c>
      <c r="D33" s="87">
        <f t="shared" si="0"/>
        <v>-1.3437196459663063E-2</v>
      </c>
      <c r="E33" s="52"/>
    </row>
    <row r="34" spans="1:7" ht="15.75" customHeight="1" x14ac:dyDescent="0.3">
      <c r="C34" s="94">
        <v>1049.98</v>
      </c>
      <c r="D34" s="87">
        <f t="shared" si="0"/>
        <v>2.828028908739968E-3</v>
      </c>
      <c r="E34" s="52"/>
    </row>
    <row r="35" spans="1:7" ht="15.75" customHeight="1" x14ac:dyDescent="0.3">
      <c r="C35" s="94">
        <v>1056.8800000000001</v>
      </c>
      <c r="D35" s="87">
        <f t="shared" si="0"/>
        <v>9.4181671965839243E-3</v>
      </c>
      <c r="E35" s="52"/>
    </row>
    <row r="36" spans="1:7" ht="15.75" customHeight="1" x14ac:dyDescent="0.3">
      <c r="C36" s="94">
        <v>1046.53</v>
      </c>
      <c r="D36" s="87">
        <f t="shared" si="0"/>
        <v>-4.6704023518200983E-4</v>
      </c>
      <c r="E36" s="52"/>
    </row>
    <row r="37" spans="1:7" ht="15.75" customHeight="1" x14ac:dyDescent="0.3">
      <c r="C37" s="94">
        <v>1053.3699999999999</v>
      </c>
      <c r="D37" s="87">
        <f t="shared" si="0"/>
        <v>6.0657925023327036E-3</v>
      </c>
      <c r="E37" s="52"/>
    </row>
    <row r="38" spans="1:7" ht="15.75" customHeight="1" x14ac:dyDescent="0.3">
      <c r="C38" s="94">
        <v>1044.3900000000001</v>
      </c>
      <c r="D38" s="87">
        <f t="shared" si="0"/>
        <v>-2.5109381969189723E-3</v>
      </c>
      <c r="E38" s="52"/>
    </row>
    <row r="39" spans="1:7" ht="15.75" customHeight="1" x14ac:dyDescent="0.3">
      <c r="C39" s="94">
        <v>1053.3</v>
      </c>
      <c r="D39" s="87">
        <f t="shared" si="0"/>
        <v>5.9989360269488414E-3</v>
      </c>
      <c r="E39" s="52"/>
    </row>
    <row r="40" spans="1:7" ht="15.75" customHeight="1" x14ac:dyDescent="0.3">
      <c r="C40" s="94">
        <v>1064.5</v>
      </c>
      <c r="D40" s="87">
        <f t="shared" si="0"/>
        <v>1.6695972088376615E-2</v>
      </c>
      <c r="E40" s="52"/>
    </row>
    <row r="41" spans="1:7" ht="15.75" customHeight="1" x14ac:dyDescent="0.3">
      <c r="C41" s="94">
        <v>1039.52</v>
      </c>
      <c r="D41" s="87">
        <f t="shared" si="0"/>
        <v>-7.1622386986291784E-3</v>
      </c>
      <c r="E41" s="52"/>
    </row>
    <row r="42" spans="1:7" ht="15.75" customHeight="1" x14ac:dyDescent="0.3">
      <c r="C42" s="94">
        <v>1036.6400000000001</v>
      </c>
      <c r="D42" s="87">
        <f t="shared" si="0"/>
        <v>-9.9129051144247679E-3</v>
      </c>
      <c r="E42" s="52"/>
    </row>
    <row r="43" spans="1:7" ht="16.5" customHeight="1" x14ac:dyDescent="0.3">
      <c r="C43" s="95">
        <v>1036.57</v>
      </c>
      <c r="D43" s="88">
        <f t="shared" si="0"/>
        <v>-9.979761589808846E-3</v>
      </c>
      <c r="E43" s="52"/>
    </row>
    <row r="44" spans="1:7" ht="16.5" customHeight="1" x14ac:dyDescent="0.3">
      <c r="C44" s="53"/>
      <c r="D44" s="52"/>
      <c r="E44" s="54"/>
    </row>
    <row r="45" spans="1:7" ht="16.5" customHeight="1" x14ac:dyDescent="0.3">
      <c r="B45" s="81" t="s">
        <v>41</v>
      </c>
      <c r="C45" s="82">
        <f>SUM(C24:C44)</f>
        <v>20940.38</v>
      </c>
      <c r="D45" s="77"/>
      <c r="E45" s="53"/>
    </row>
    <row r="46" spans="1:7" ht="17.25" customHeight="1" x14ac:dyDescent="0.3">
      <c r="B46" s="81" t="s">
        <v>42</v>
      </c>
      <c r="C46" s="83">
        <f>AVERAGE(C24:C44)</f>
        <v>1047.019</v>
      </c>
      <c r="E46" s="55"/>
    </row>
    <row r="47" spans="1:7" ht="17.25" customHeight="1" x14ac:dyDescent="0.3">
      <c r="A47" s="59"/>
      <c r="B47" s="78"/>
      <c r="D47" s="57"/>
      <c r="E47" s="55"/>
    </row>
    <row r="48" spans="1:7" ht="33.75" customHeight="1" x14ac:dyDescent="0.3">
      <c r="B48" s="91" t="s">
        <v>42</v>
      </c>
      <c r="C48" s="84" t="s">
        <v>43</v>
      </c>
      <c r="D48" s="79"/>
      <c r="G48" s="57"/>
    </row>
    <row r="49" spans="1:6" ht="17.25" customHeight="1" x14ac:dyDescent="0.3">
      <c r="B49" s="494">
        <f>C46</f>
        <v>1047.019</v>
      </c>
      <c r="C49" s="92">
        <f>-IF(C46&lt;=80,10%,IF(C46&lt;250,7.5%,5%))</f>
        <v>-0.05</v>
      </c>
      <c r="D49" s="80">
        <f>IF(C46&lt;=80,C46*0.9,IF(C46&lt;250,C46*0.925,C46*0.95))</f>
        <v>994.66804999999999</v>
      </c>
    </row>
    <row r="50" spans="1:6" ht="17.25" customHeight="1" x14ac:dyDescent="0.3">
      <c r="B50" s="495"/>
      <c r="C50" s="93">
        <f>IF(C46&lt;=80, 10%, IF(C46&lt;250, 7.5%, 5%))</f>
        <v>0.05</v>
      </c>
      <c r="D50" s="80">
        <f>IF(C46&lt;=80, C46*1.1, IF(C46&lt;250, C46*1.075, C46*1.05))</f>
        <v>1099.36995</v>
      </c>
    </row>
    <row r="51" spans="1:6" ht="16.5" customHeight="1" x14ac:dyDescent="0.3">
      <c r="A51" s="62"/>
      <c r="B51" s="63"/>
      <c r="C51" s="59"/>
      <c r="D51" s="64"/>
      <c r="E51" s="59"/>
      <c r="F51" s="65"/>
    </row>
    <row r="52" spans="1:6" ht="16.5" customHeight="1" x14ac:dyDescent="0.3">
      <c r="A52" s="59"/>
      <c r="B52" s="66" t="s">
        <v>25</v>
      </c>
      <c r="C52" s="66"/>
      <c r="D52" s="67" t="s">
        <v>26</v>
      </c>
      <c r="E52" s="68"/>
      <c r="F52" s="67" t="s">
        <v>27</v>
      </c>
    </row>
    <row r="53" spans="1:6" ht="34.5" customHeight="1" x14ac:dyDescent="0.3">
      <c r="A53" s="69" t="s">
        <v>28</v>
      </c>
      <c r="B53" s="70"/>
      <c r="C53" s="71"/>
      <c r="D53" s="70"/>
      <c r="E53" s="60"/>
      <c r="F53" s="72"/>
    </row>
    <row r="54" spans="1:6" ht="34.5" customHeight="1" x14ac:dyDescent="0.3">
      <c r="A54" s="69" t="s">
        <v>29</v>
      </c>
      <c r="B54" s="73"/>
      <c r="C54" s="74"/>
      <c r="D54" s="73"/>
      <c r="E54" s="60"/>
      <c r="F54" s="75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38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37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36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35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34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33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32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31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30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9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28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27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26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25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24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23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22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21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0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9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18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3" zoomScale="48" zoomScaleNormal="40" zoomScalePageLayoutView="48" workbookViewId="0">
      <selection activeCell="C122" sqref="C122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2" t="s">
        <v>44</v>
      </c>
      <c r="B1" s="502"/>
      <c r="C1" s="502"/>
      <c r="D1" s="502"/>
      <c r="E1" s="502"/>
      <c r="F1" s="502"/>
      <c r="G1" s="502"/>
      <c r="H1" s="502"/>
      <c r="I1" s="502"/>
    </row>
    <row r="2" spans="1:9" ht="18.75" customHeight="1" x14ac:dyDescent="0.25">
      <c r="A2" s="502"/>
      <c r="B2" s="502"/>
      <c r="C2" s="502"/>
      <c r="D2" s="502"/>
      <c r="E2" s="502"/>
      <c r="F2" s="502"/>
      <c r="G2" s="502"/>
      <c r="H2" s="502"/>
      <c r="I2" s="502"/>
    </row>
    <row r="3" spans="1:9" ht="18.75" customHeight="1" x14ac:dyDescent="0.25">
      <c r="A3" s="502"/>
      <c r="B3" s="502"/>
      <c r="C3" s="502"/>
      <c r="D3" s="502"/>
      <c r="E3" s="502"/>
      <c r="F3" s="502"/>
      <c r="G3" s="502"/>
      <c r="H3" s="502"/>
      <c r="I3" s="502"/>
    </row>
    <row r="4" spans="1:9" ht="18.75" customHeight="1" x14ac:dyDescent="0.25">
      <c r="A4" s="502"/>
      <c r="B4" s="502"/>
      <c r="C4" s="502"/>
      <c r="D4" s="502"/>
      <c r="E4" s="502"/>
      <c r="F4" s="502"/>
      <c r="G4" s="502"/>
      <c r="H4" s="502"/>
      <c r="I4" s="502"/>
    </row>
    <row r="5" spans="1:9" ht="18.75" customHeight="1" x14ac:dyDescent="0.25">
      <c r="A5" s="502"/>
      <c r="B5" s="502"/>
      <c r="C5" s="502"/>
      <c r="D5" s="502"/>
      <c r="E5" s="502"/>
      <c r="F5" s="502"/>
      <c r="G5" s="502"/>
      <c r="H5" s="502"/>
      <c r="I5" s="502"/>
    </row>
    <row r="6" spans="1:9" ht="18.75" customHeight="1" x14ac:dyDescent="0.25">
      <c r="A6" s="502"/>
      <c r="B6" s="502"/>
      <c r="C6" s="502"/>
      <c r="D6" s="502"/>
      <c r="E6" s="502"/>
      <c r="F6" s="502"/>
      <c r="G6" s="502"/>
      <c r="H6" s="502"/>
      <c r="I6" s="502"/>
    </row>
    <row r="7" spans="1:9" ht="18.75" customHeight="1" x14ac:dyDescent="0.25">
      <c r="A7" s="502"/>
      <c r="B7" s="502"/>
      <c r="C7" s="502"/>
      <c r="D7" s="502"/>
      <c r="E7" s="502"/>
      <c r="F7" s="502"/>
      <c r="G7" s="502"/>
      <c r="H7" s="502"/>
      <c r="I7" s="502"/>
    </row>
    <row r="8" spans="1:9" x14ac:dyDescent="0.25">
      <c r="A8" s="503" t="s">
        <v>45</v>
      </c>
      <c r="B8" s="503"/>
      <c r="C8" s="503"/>
      <c r="D8" s="503"/>
      <c r="E8" s="503"/>
      <c r="F8" s="503"/>
      <c r="G8" s="503"/>
      <c r="H8" s="503"/>
      <c r="I8" s="503"/>
    </row>
    <row r="9" spans="1:9" x14ac:dyDescent="0.25">
      <c r="A9" s="503"/>
      <c r="B9" s="503"/>
      <c r="C9" s="503"/>
      <c r="D9" s="503"/>
      <c r="E9" s="503"/>
      <c r="F9" s="503"/>
      <c r="G9" s="503"/>
      <c r="H9" s="503"/>
      <c r="I9" s="503"/>
    </row>
    <row r="10" spans="1:9" x14ac:dyDescent="0.25">
      <c r="A10" s="503"/>
      <c r="B10" s="503"/>
      <c r="C10" s="503"/>
      <c r="D10" s="503"/>
      <c r="E10" s="503"/>
      <c r="F10" s="503"/>
      <c r="G10" s="503"/>
      <c r="H10" s="503"/>
      <c r="I10" s="503"/>
    </row>
    <row r="11" spans="1:9" x14ac:dyDescent="0.25">
      <c r="A11" s="503"/>
      <c r="B11" s="503"/>
      <c r="C11" s="503"/>
      <c r="D11" s="503"/>
      <c r="E11" s="503"/>
      <c r="F11" s="503"/>
      <c r="G11" s="503"/>
      <c r="H11" s="503"/>
      <c r="I11" s="503"/>
    </row>
    <row r="12" spans="1:9" x14ac:dyDescent="0.25">
      <c r="A12" s="503"/>
      <c r="B12" s="503"/>
      <c r="C12" s="503"/>
      <c r="D12" s="503"/>
      <c r="E12" s="503"/>
      <c r="F12" s="503"/>
      <c r="G12" s="503"/>
      <c r="H12" s="503"/>
      <c r="I12" s="503"/>
    </row>
    <row r="13" spans="1:9" x14ac:dyDescent="0.25">
      <c r="A13" s="503"/>
      <c r="B13" s="503"/>
      <c r="C13" s="503"/>
      <c r="D13" s="503"/>
      <c r="E13" s="503"/>
      <c r="F13" s="503"/>
      <c r="G13" s="503"/>
      <c r="H13" s="503"/>
      <c r="I13" s="503"/>
    </row>
    <row r="14" spans="1:9" x14ac:dyDescent="0.25">
      <c r="A14" s="503"/>
      <c r="B14" s="503"/>
      <c r="C14" s="503"/>
      <c r="D14" s="503"/>
      <c r="E14" s="503"/>
      <c r="F14" s="503"/>
      <c r="G14" s="503"/>
      <c r="H14" s="503"/>
      <c r="I14" s="503"/>
    </row>
    <row r="15" spans="1:9" ht="19.5" customHeight="1" x14ac:dyDescent="0.3">
      <c r="A15" s="97"/>
    </row>
    <row r="16" spans="1:9" ht="19.5" customHeight="1" x14ac:dyDescent="0.3">
      <c r="A16" s="536" t="s">
        <v>30</v>
      </c>
      <c r="B16" s="537"/>
      <c r="C16" s="537"/>
      <c r="D16" s="537"/>
      <c r="E16" s="537"/>
      <c r="F16" s="537"/>
      <c r="G16" s="537"/>
      <c r="H16" s="538"/>
    </row>
    <row r="17" spans="1:14" ht="20.25" customHeight="1" x14ac:dyDescent="0.25">
      <c r="A17" s="539" t="s">
        <v>46</v>
      </c>
      <c r="B17" s="539"/>
      <c r="C17" s="539"/>
      <c r="D17" s="539"/>
      <c r="E17" s="539"/>
      <c r="F17" s="539"/>
      <c r="G17" s="539"/>
      <c r="H17" s="539"/>
    </row>
    <row r="18" spans="1:14" ht="26.25" customHeight="1" x14ac:dyDescent="0.4">
      <c r="A18" s="99" t="s">
        <v>32</v>
      </c>
      <c r="B18" s="535" t="s">
        <v>5</v>
      </c>
      <c r="C18" s="535"/>
      <c r="D18" s="243"/>
      <c r="E18" s="100"/>
      <c r="F18" s="101"/>
      <c r="G18" s="101"/>
      <c r="H18" s="101"/>
    </row>
    <row r="19" spans="1:14" ht="26.25" customHeight="1" x14ac:dyDescent="0.4">
      <c r="A19" s="99" t="s">
        <v>33</v>
      </c>
      <c r="B19" s="102" t="s">
        <v>7</v>
      </c>
      <c r="C19" s="252">
        <v>1</v>
      </c>
      <c r="D19" s="101"/>
      <c r="E19" s="101"/>
      <c r="F19" s="101"/>
      <c r="G19" s="101"/>
      <c r="H19" s="101"/>
    </row>
    <row r="20" spans="1:14" ht="26.25" customHeight="1" x14ac:dyDescent="0.4">
      <c r="A20" s="99" t="s">
        <v>34</v>
      </c>
      <c r="B20" s="540" t="s">
        <v>9</v>
      </c>
      <c r="C20" s="540"/>
      <c r="D20" s="101"/>
      <c r="E20" s="101"/>
      <c r="F20" s="101"/>
      <c r="G20" s="101"/>
      <c r="H20" s="101"/>
    </row>
    <row r="21" spans="1:14" ht="26.25" customHeight="1" x14ac:dyDescent="0.4">
      <c r="A21" s="99" t="s">
        <v>35</v>
      </c>
      <c r="B21" s="540" t="s">
        <v>11</v>
      </c>
      <c r="C21" s="540"/>
      <c r="D21" s="540"/>
      <c r="E21" s="540"/>
      <c r="F21" s="540"/>
      <c r="G21" s="540"/>
      <c r="H21" s="540"/>
      <c r="I21" s="103"/>
    </row>
    <row r="22" spans="1:14" ht="26.25" customHeight="1" x14ac:dyDescent="0.4">
      <c r="A22" s="99" t="s">
        <v>36</v>
      </c>
      <c r="B22" s="104" t="s">
        <v>12</v>
      </c>
      <c r="C22" s="101"/>
      <c r="D22" s="101"/>
      <c r="E22" s="101"/>
      <c r="F22" s="101"/>
      <c r="G22" s="101"/>
      <c r="H22" s="101"/>
    </row>
    <row r="23" spans="1:14" ht="26.25" customHeight="1" x14ac:dyDescent="0.4">
      <c r="A23" s="99" t="s">
        <v>37</v>
      </c>
      <c r="B23" s="104">
        <v>43220</v>
      </c>
      <c r="C23" s="101"/>
      <c r="D23" s="101"/>
      <c r="E23" s="101"/>
      <c r="F23" s="101"/>
      <c r="G23" s="101"/>
      <c r="H23" s="101"/>
    </row>
    <row r="24" spans="1:14" ht="18.75" x14ac:dyDescent="0.3">
      <c r="A24" s="99"/>
      <c r="B24" s="105"/>
    </row>
    <row r="25" spans="1:14" ht="18.75" x14ac:dyDescent="0.3">
      <c r="A25" s="106" t="s">
        <v>1</v>
      </c>
      <c r="B25" s="105"/>
    </row>
    <row r="26" spans="1:14" ht="26.25" customHeight="1" x14ac:dyDescent="0.4">
      <c r="A26" s="107" t="s">
        <v>4</v>
      </c>
      <c r="B26" s="534" t="s">
        <v>131</v>
      </c>
      <c r="C26" s="535"/>
    </row>
    <row r="27" spans="1:14" ht="26.25" customHeight="1" x14ac:dyDescent="0.4">
      <c r="A27" s="108" t="s">
        <v>47</v>
      </c>
      <c r="B27" s="541" t="s">
        <v>132</v>
      </c>
      <c r="C27" s="542"/>
    </row>
    <row r="28" spans="1:14" ht="27" customHeight="1" x14ac:dyDescent="0.4">
      <c r="A28" s="108" t="s">
        <v>6</v>
      </c>
      <c r="B28" s="109">
        <v>99.02</v>
      </c>
    </row>
    <row r="29" spans="1:14" s="14" customFormat="1" ht="27" customHeight="1" x14ac:dyDescent="0.4">
      <c r="A29" s="108" t="s">
        <v>48</v>
      </c>
      <c r="B29" s="110">
        <v>0</v>
      </c>
      <c r="C29" s="510" t="s">
        <v>49</v>
      </c>
      <c r="D29" s="511"/>
      <c r="E29" s="511"/>
      <c r="F29" s="511"/>
      <c r="G29" s="512"/>
      <c r="I29" s="111"/>
      <c r="J29" s="111"/>
      <c r="K29" s="111"/>
      <c r="L29" s="111"/>
    </row>
    <row r="30" spans="1:14" s="14" customFormat="1" ht="19.5" customHeight="1" x14ac:dyDescent="0.3">
      <c r="A30" s="108" t="s">
        <v>50</v>
      </c>
      <c r="B30" s="112">
        <f>B28-B29</f>
        <v>99.02</v>
      </c>
      <c r="C30" s="113"/>
      <c r="D30" s="113"/>
      <c r="E30" s="113"/>
      <c r="F30" s="113"/>
      <c r="G30" s="114"/>
      <c r="I30" s="111"/>
      <c r="J30" s="111"/>
      <c r="K30" s="111"/>
      <c r="L30" s="111"/>
    </row>
    <row r="31" spans="1:14" s="14" customFormat="1" ht="27" customHeight="1" x14ac:dyDescent="0.4">
      <c r="A31" s="108" t="s">
        <v>51</v>
      </c>
      <c r="B31" s="115">
        <v>1</v>
      </c>
      <c r="C31" s="513" t="s">
        <v>52</v>
      </c>
      <c r="D31" s="514"/>
      <c r="E31" s="514"/>
      <c r="F31" s="514"/>
      <c r="G31" s="514"/>
      <c r="H31" s="515"/>
      <c r="I31" s="111"/>
      <c r="J31" s="111"/>
      <c r="K31" s="111"/>
      <c r="L31" s="111"/>
    </row>
    <row r="32" spans="1:14" s="14" customFormat="1" ht="27" customHeight="1" x14ac:dyDescent="0.4">
      <c r="A32" s="108" t="s">
        <v>53</v>
      </c>
      <c r="B32" s="115">
        <v>1</v>
      </c>
      <c r="C32" s="513" t="s">
        <v>54</v>
      </c>
      <c r="D32" s="514"/>
      <c r="E32" s="514"/>
      <c r="F32" s="514"/>
      <c r="G32" s="514"/>
      <c r="H32" s="515"/>
      <c r="I32" s="111"/>
      <c r="J32" s="111"/>
      <c r="K32" s="111"/>
      <c r="L32" s="116"/>
      <c r="M32" s="116"/>
      <c r="N32" s="117"/>
    </row>
    <row r="33" spans="1:14" s="14" customFormat="1" ht="17.25" customHeight="1" x14ac:dyDescent="0.3">
      <c r="A33" s="108"/>
      <c r="B33" s="118"/>
      <c r="C33" s="119"/>
      <c r="D33" s="119"/>
      <c r="E33" s="119"/>
      <c r="F33" s="119"/>
      <c r="G33" s="119"/>
      <c r="H33" s="119"/>
      <c r="I33" s="111"/>
      <c r="J33" s="111"/>
      <c r="K33" s="111"/>
      <c r="L33" s="116"/>
      <c r="M33" s="116"/>
      <c r="N33" s="117"/>
    </row>
    <row r="34" spans="1:14" s="14" customFormat="1" ht="18.75" x14ac:dyDescent="0.3">
      <c r="A34" s="108" t="s">
        <v>55</v>
      </c>
      <c r="B34" s="120">
        <f>B31/B32</f>
        <v>1</v>
      </c>
      <c r="C34" s="98" t="s">
        <v>56</v>
      </c>
      <c r="D34" s="98"/>
      <c r="E34" s="98"/>
      <c r="F34" s="98"/>
      <c r="G34" s="98"/>
      <c r="I34" s="111"/>
      <c r="J34" s="111"/>
      <c r="K34" s="111"/>
      <c r="L34" s="116"/>
      <c r="M34" s="116"/>
      <c r="N34" s="117"/>
    </row>
    <row r="35" spans="1:14" s="14" customFormat="1" ht="19.5" customHeight="1" x14ac:dyDescent="0.3">
      <c r="A35" s="108"/>
      <c r="B35" s="112"/>
      <c r="G35" s="98"/>
      <c r="I35" s="111"/>
      <c r="J35" s="111"/>
      <c r="K35" s="111"/>
      <c r="L35" s="116"/>
      <c r="M35" s="116"/>
      <c r="N35" s="117"/>
    </row>
    <row r="36" spans="1:14" s="14" customFormat="1" ht="27" customHeight="1" x14ac:dyDescent="0.4">
      <c r="A36" s="121" t="s">
        <v>57</v>
      </c>
      <c r="B36" s="122">
        <v>100</v>
      </c>
      <c r="C36" s="98"/>
      <c r="D36" s="516" t="s">
        <v>58</v>
      </c>
      <c r="E36" s="543"/>
      <c r="F36" s="516" t="s">
        <v>59</v>
      </c>
      <c r="G36" s="517"/>
      <c r="J36" s="111"/>
      <c r="K36" s="111"/>
      <c r="L36" s="116"/>
      <c r="M36" s="116"/>
      <c r="N36" s="117"/>
    </row>
    <row r="37" spans="1:14" s="14" customFormat="1" ht="27" customHeight="1" x14ac:dyDescent="0.4">
      <c r="A37" s="123" t="s">
        <v>60</v>
      </c>
      <c r="B37" s="124">
        <v>1</v>
      </c>
      <c r="C37" s="125" t="s">
        <v>61</v>
      </c>
      <c r="D37" s="126" t="s">
        <v>62</v>
      </c>
      <c r="E37" s="127" t="s">
        <v>63</v>
      </c>
      <c r="F37" s="126" t="s">
        <v>62</v>
      </c>
      <c r="G37" s="128" t="s">
        <v>63</v>
      </c>
      <c r="I37" s="129" t="s">
        <v>64</v>
      </c>
      <c r="J37" s="111"/>
      <c r="K37" s="111"/>
      <c r="L37" s="116"/>
      <c r="M37" s="116"/>
      <c r="N37" s="117"/>
    </row>
    <row r="38" spans="1:14" s="14" customFormat="1" ht="26.25" customHeight="1" x14ac:dyDescent="0.4">
      <c r="A38" s="123" t="s">
        <v>65</v>
      </c>
      <c r="B38" s="124">
        <v>1</v>
      </c>
      <c r="C38" s="130">
        <v>1</v>
      </c>
      <c r="D38" s="317">
        <v>77963811</v>
      </c>
      <c r="E38" s="131">
        <f>IF(ISBLANK(D38),"-",$D$48/$D$45*D38)</f>
        <v>73929970.044463918</v>
      </c>
      <c r="F38" s="317">
        <v>74576972</v>
      </c>
      <c r="G38" s="132">
        <f>IF(ISBLANK(F38),"-",$D$48/$F$45*F38)</f>
        <v>73883565.502315089</v>
      </c>
      <c r="I38" s="133"/>
      <c r="J38" s="111"/>
      <c r="K38" s="111"/>
      <c r="L38" s="116"/>
      <c r="M38" s="116"/>
      <c r="N38" s="117"/>
    </row>
    <row r="39" spans="1:14" s="14" customFormat="1" ht="26.25" customHeight="1" x14ac:dyDescent="0.4">
      <c r="A39" s="123" t="s">
        <v>66</v>
      </c>
      <c r="B39" s="124">
        <v>1</v>
      </c>
      <c r="C39" s="134">
        <v>2</v>
      </c>
      <c r="D39" s="322">
        <v>78087193</v>
      </c>
      <c r="E39" s="136">
        <f>IF(ISBLANK(D39),"-",$D$48/$D$45*D39)</f>
        <v>74046968.270269305</v>
      </c>
      <c r="F39" s="322">
        <v>74306523</v>
      </c>
      <c r="G39" s="137">
        <f>IF(ISBLANK(F39),"-",$D$48/$F$45*F39)</f>
        <v>73615631.100171015</v>
      </c>
      <c r="I39" s="518">
        <f>ABS((F43/D43*D42)-F42)/D42</f>
        <v>2.1335585933618516E-3</v>
      </c>
      <c r="J39" s="111"/>
      <c r="K39" s="111"/>
      <c r="L39" s="116"/>
      <c r="M39" s="116"/>
      <c r="N39" s="117"/>
    </row>
    <row r="40" spans="1:14" ht="26.25" customHeight="1" x14ac:dyDescent="0.4">
      <c r="A40" s="123" t="s">
        <v>67</v>
      </c>
      <c r="B40" s="124">
        <v>1</v>
      </c>
      <c r="C40" s="134">
        <v>3</v>
      </c>
      <c r="D40" s="322">
        <v>77846301</v>
      </c>
      <c r="E40" s="136">
        <f>IF(ISBLANK(D40),"-",$D$48/$D$45*D40)</f>
        <v>73818540.001877561</v>
      </c>
      <c r="F40" s="322">
        <v>74494528</v>
      </c>
      <c r="G40" s="137">
        <f>IF(ISBLANK(F40),"-",$D$48/$F$45*F40)</f>
        <v>73801888.055364415</v>
      </c>
      <c r="I40" s="518"/>
      <c r="L40" s="116"/>
      <c r="M40" s="116"/>
      <c r="N40" s="138"/>
    </row>
    <row r="41" spans="1:14" ht="27" customHeight="1" x14ac:dyDescent="0.4">
      <c r="A41" s="123" t="s">
        <v>68</v>
      </c>
      <c r="B41" s="124">
        <v>1</v>
      </c>
      <c r="C41" s="139">
        <v>4</v>
      </c>
      <c r="D41" s="140"/>
      <c r="E41" s="141" t="str">
        <f>IF(ISBLANK(D41),"-",$D$48/$D$45*D41)</f>
        <v>-</v>
      </c>
      <c r="F41" s="140"/>
      <c r="G41" s="142" t="str">
        <f>IF(ISBLANK(F41),"-",$D$48/$F$45*F41)</f>
        <v>-</v>
      </c>
      <c r="I41" s="143"/>
      <c r="L41" s="116"/>
      <c r="M41" s="116"/>
      <c r="N41" s="138"/>
    </row>
    <row r="42" spans="1:14" ht="27" customHeight="1" x14ac:dyDescent="0.4">
      <c r="A42" s="123" t="s">
        <v>69</v>
      </c>
      <c r="B42" s="124">
        <v>1</v>
      </c>
      <c r="C42" s="144" t="s">
        <v>70</v>
      </c>
      <c r="D42" s="145">
        <f>AVERAGE(D38:D41)</f>
        <v>77965768.333333328</v>
      </c>
      <c r="E42" s="146">
        <f>AVERAGE(E38:E41)</f>
        <v>73931826.105536923</v>
      </c>
      <c r="F42" s="145">
        <f>AVERAGE(F38:F41)</f>
        <v>74459341</v>
      </c>
      <c r="G42" s="147">
        <f>AVERAGE(G38:G41)</f>
        <v>73767028.219283506</v>
      </c>
      <c r="H42" s="148"/>
    </row>
    <row r="43" spans="1:14" ht="26.25" customHeight="1" x14ac:dyDescent="0.4">
      <c r="A43" s="123" t="s">
        <v>71</v>
      </c>
      <c r="B43" s="124">
        <v>1</v>
      </c>
      <c r="C43" s="149" t="s">
        <v>72</v>
      </c>
      <c r="D43" s="150">
        <v>17.04</v>
      </c>
      <c r="E43" s="138"/>
      <c r="F43" s="150">
        <v>16.309999999999999</v>
      </c>
      <c r="H43" s="148"/>
    </row>
    <row r="44" spans="1:14" ht="26.25" customHeight="1" x14ac:dyDescent="0.4">
      <c r="A44" s="123" t="s">
        <v>73</v>
      </c>
      <c r="B44" s="124">
        <v>1</v>
      </c>
      <c r="C44" s="151" t="s">
        <v>74</v>
      </c>
      <c r="D44" s="152">
        <f>D43*$B$34</f>
        <v>17.04</v>
      </c>
      <c r="E44" s="153"/>
      <c r="F44" s="152">
        <f>F43*$B$34</f>
        <v>16.309999999999999</v>
      </c>
      <c r="H44" s="148"/>
    </row>
    <row r="45" spans="1:14" ht="19.5" customHeight="1" x14ac:dyDescent="0.3">
      <c r="A45" s="123" t="s">
        <v>75</v>
      </c>
      <c r="B45" s="154">
        <f>(B44/B43)*(B42/B41)*(B40/B39)*(B38/B37)*B36</f>
        <v>100</v>
      </c>
      <c r="C45" s="151" t="s">
        <v>76</v>
      </c>
      <c r="D45" s="155">
        <f>D44*$B$30/100</f>
        <v>16.873007999999999</v>
      </c>
      <c r="E45" s="156"/>
      <c r="F45" s="155">
        <f>F44*$B$30/100</f>
        <v>16.150161999999998</v>
      </c>
      <c r="H45" s="148"/>
    </row>
    <row r="46" spans="1:14" ht="19.5" customHeight="1" x14ac:dyDescent="0.3">
      <c r="A46" s="504" t="s">
        <v>77</v>
      </c>
      <c r="B46" s="505"/>
      <c r="C46" s="151" t="s">
        <v>78</v>
      </c>
      <c r="D46" s="157">
        <f>D45/$B$45</f>
        <v>0.16873007999999998</v>
      </c>
      <c r="E46" s="158"/>
      <c r="F46" s="159">
        <f>F45/$B$45</f>
        <v>0.16150161999999998</v>
      </c>
      <c r="H46" s="148"/>
    </row>
    <row r="47" spans="1:14" ht="27" customHeight="1" x14ac:dyDescent="0.4">
      <c r="A47" s="506"/>
      <c r="B47" s="507"/>
      <c r="C47" s="160" t="s">
        <v>79</v>
      </c>
      <c r="D47" s="161">
        <v>0.16</v>
      </c>
      <c r="E47" s="162"/>
      <c r="F47" s="158"/>
      <c r="H47" s="148"/>
    </row>
    <row r="48" spans="1:14" ht="18.75" x14ac:dyDescent="0.3">
      <c r="C48" s="163" t="s">
        <v>80</v>
      </c>
      <c r="D48" s="155">
        <f>D47*$B$45</f>
        <v>16</v>
      </c>
      <c r="F48" s="164"/>
      <c r="H48" s="148"/>
    </row>
    <row r="49" spans="1:12" ht="19.5" customHeight="1" x14ac:dyDescent="0.3">
      <c r="C49" s="165" t="s">
        <v>81</v>
      </c>
      <c r="D49" s="166">
        <f>D48/B34</f>
        <v>16</v>
      </c>
      <c r="F49" s="164"/>
      <c r="H49" s="148"/>
    </row>
    <row r="50" spans="1:12" ht="18.75" x14ac:dyDescent="0.3">
      <c r="C50" s="121" t="s">
        <v>82</v>
      </c>
      <c r="D50" s="167">
        <f>AVERAGE(E38:E41,G38:G41)</f>
        <v>73849427.162410215</v>
      </c>
      <c r="F50" s="168"/>
      <c r="H50" s="148"/>
    </row>
    <row r="51" spans="1:12" ht="18.75" x14ac:dyDescent="0.3">
      <c r="C51" s="123" t="s">
        <v>83</v>
      </c>
      <c r="D51" s="169">
        <f>STDEV(E38:E41,G38:G41)/D50</f>
        <v>1.9580742934397427E-3</v>
      </c>
      <c r="F51" s="168"/>
      <c r="H51" s="148"/>
    </row>
    <row r="52" spans="1:12" ht="19.5" customHeight="1" x14ac:dyDescent="0.3">
      <c r="C52" s="170" t="s">
        <v>20</v>
      </c>
      <c r="D52" s="171">
        <f>COUNT(E38:E41,G38:G41)</f>
        <v>6</v>
      </c>
      <c r="F52" s="168"/>
    </row>
    <row r="54" spans="1:12" ht="18.75" x14ac:dyDescent="0.3">
      <c r="A54" s="172" t="s">
        <v>1</v>
      </c>
      <c r="B54" s="173" t="s">
        <v>84</v>
      </c>
    </row>
    <row r="55" spans="1:12" ht="18.75" x14ac:dyDescent="0.3">
      <c r="A55" s="98" t="s">
        <v>85</v>
      </c>
      <c r="B55" s="174" t="str">
        <f>B21</f>
        <v>Each tablet contain Sulphamethoxazole B.P 800 mg and Trimethoprim B.P 160 mg.</v>
      </c>
    </row>
    <row r="56" spans="1:12" ht="26.25" customHeight="1" x14ac:dyDescent="0.4">
      <c r="A56" s="175" t="s">
        <v>86</v>
      </c>
      <c r="B56" s="176">
        <v>800</v>
      </c>
      <c r="C56" s="98" t="str">
        <f>B20</f>
        <v>Sulphamethoxazole 800 mg, Trimethoprim 160 mg</v>
      </c>
      <c r="H56" s="177"/>
    </row>
    <row r="57" spans="1:12" ht="18.75" x14ac:dyDescent="0.3">
      <c r="A57" s="174" t="s">
        <v>87</v>
      </c>
      <c r="B57" s="244">
        <f>Uniformity!C46</f>
        <v>1047.019</v>
      </c>
      <c r="H57" s="177"/>
    </row>
    <row r="58" spans="1:12" ht="19.5" customHeight="1" x14ac:dyDescent="0.3">
      <c r="H58" s="177"/>
    </row>
    <row r="59" spans="1:12" s="14" customFormat="1" ht="27" customHeight="1" thickBot="1" x14ac:dyDescent="0.45">
      <c r="A59" s="121" t="s">
        <v>88</v>
      </c>
      <c r="B59" s="122">
        <v>100</v>
      </c>
      <c r="C59" s="98"/>
      <c r="D59" s="178" t="s">
        <v>89</v>
      </c>
      <c r="E59" s="179" t="s">
        <v>61</v>
      </c>
      <c r="F59" s="179" t="s">
        <v>62</v>
      </c>
      <c r="G59" s="179" t="s">
        <v>90</v>
      </c>
      <c r="H59" s="125" t="s">
        <v>91</v>
      </c>
      <c r="L59" s="111"/>
    </row>
    <row r="60" spans="1:12" s="14" customFormat="1" ht="26.25" customHeight="1" x14ac:dyDescent="0.4">
      <c r="A60" s="123" t="s">
        <v>92</v>
      </c>
      <c r="B60" s="124">
        <v>2</v>
      </c>
      <c r="C60" s="521" t="s">
        <v>93</v>
      </c>
      <c r="D60" s="524">
        <v>1049.5</v>
      </c>
      <c r="E60" s="180">
        <v>1</v>
      </c>
      <c r="F60" s="317">
        <v>76264148</v>
      </c>
      <c r="G60" s="245">
        <f>IF(ISBLANK(F60),"-",(F60/$D$50*$D$47*$B$68)*($B$57/$D$60))</f>
        <v>824.20529215276986</v>
      </c>
      <c r="H60" s="263">
        <f t="shared" ref="H60:H71" si="0">IF(ISBLANK(F60),"-",(G60/$B$56)*100)</f>
        <v>103.02566151909622</v>
      </c>
      <c r="L60" s="111"/>
    </row>
    <row r="61" spans="1:12" s="14" customFormat="1" ht="26.25" customHeight="1" x14ac:dyDescent="0.4">
      <c r="A61" s="123" t="s">
        <v>94</v>
      </c>
      <c r="B61" s="124">
        <v>100</v>
      </c>
      <c r="C61" s="522"/>
      <c r="D61" s="525"/>
      <c r="E61" s="182">
        <v>2</v>
      </c>
      <c r="F61" s="322">
        <v>76277157</v>
      </c>
      <c r="G61" s="246">
        <f>IF(ISBLANK(F61),"-",(F61/$D$50*$D$47*$B$68)*($B$57/$D$60))</f>
        <v>824.34588359615179</v>
      </c>
      <c r="H61" s="264">
        <f t="shared" si="0"/>
        <v>103.04323544951896</v>
      </c>
      <c r="L61" s="111"/>
    </row>
    <row r="62" spans="1:12" s="14" customFormat="1" ht="26.25" customHeight="1" x14ac:dyDescent="0.4">
      <c r="A62" s="123" t="s">
        <v>95</v>
      </c>
      <c r="B62" s="124">
        <v>1</v>
      </c>
      <c r="C62" s="522"/>
      <c r="D62" s="525"/>
      <c r="E62" s="182">
        <v>3</v>
      </c>
      <c r="F62" s="322">
        <v>76681830</v>
      </c>
      <c r="G62" s="246">
        <f>IF(ISBLANK(F62),"-",(F62/$D$50*$D$47*$B$68)*($B$57/$D$60))</f>
        <v>828.71928363979157</v>
      </c>
      <c r="H62" s="264">
        <f t="shared" si="0"/>
        <v>103.58991045497395</v>
      </c>
      <c r="L62" s="111"/>
    </row>
    <row r="63" spans="1:12" ht="27" customHeight="1" thickBot="1" x14ac:dyDescent="0.45">
      <c r="A63" s="123" t="s">
        <v>96</v>
      </c>
      <c r="B63" s="124">
        <v>1</v>
      </c>
      <c r="C63" s="531"/>
      <c r="D63" s="526"/>
      <c r="E63" s="183">
        <v>4</v>
      </c>
      <c r="F63" s="184"/>
      <c r="G63" s="246" t="str">
        <f>IF(ISBLANK(F63),"-",(F63/$D$50*$D$47*$B$68)*($B$57/$D$60))</f>
        <v>-</v>
      </c>
      <c r="H63" s="264" t="str">
        <f t="shared" si="0"/>
        <v>-</v>
      </c>
    </row>
    <row r="64" spans="1:12" ht="26.25" customHeight="1" x14ac:dyDescent="0.4">
      <c r="A64" s="123" t="s">
        <v>97</v>
      </c>
      <c r="B64" s="124">
        <v>1</v>
      </c>
      <c r="C64" s="521" t="s">
        <v>98</v>
      </c>
      <c r="D64" s="524">
        <v>1051.06</v>
      </c>
      <c r="E64" s="180">
        <v>1</v>
      </c>
      <c r="F64" s="181">
        <v>77492736</v>
      </c>
      <c r="G64" s="245">
        <f>IF(ISBLANK(F64),"-",(F64/$D$50*$D$47*$B$68)*($B$57/$D$64))</f>
        <v>836.2399374996296</v>
      </c>
      <c r="H64" s="263">
        <f t="shared" si="0"/>
        <v>104.52999218745369</v>
      </c>
    </row>
    <row r="65" spans="1:8" ht="26.25" customHeight="1" x14ac:dyDescent="0.4">
      <c r="A65" s="123" t="s">
        <v>99</v>
      </c>
      <c r="B65" s="124">
        <v>1</v>
      </c>
      <c r="C65" s="522"/>
      <c r="D65" s="525"/>
      <c r="E65" s="182">
        <v>2</v>
      </c>
      <c r="F65" s="135">
        <v>77229799</v>
      </c>
      <c r="G65" s="246">
        <f>IF(ISBLANK(F65),"-",(F65/$D$50*$D$47*$B$68)*($B$57/$D$64))</f>
        <v>833.40253064324588</v>
      </c>
      <c r="H65" s="264">
        <f t="shared" si="0"/>
        <v>104.17531633040574</v>
      </c>
    </row>
    <row r="66" spans="1:8" ht="26.25" customHeight="1" x14ac:dyDescent="0.4">
      <c r="A66" s="123" t="s">
        <v>100</v>
      </c>
      <c r="B66" s="124">
        <v>1</v>
      </c>
      <c r="C66" s="522"/>
      <c r="D66" s="525"/>
      <c r="E66" s="182">
        <v>3</v>
      </c>
      <c r="F66" s="135">
        <v>76975382</v>
      </c>
      <c r="G66" s="246">
        <f>IF(ISBLANK(F66),"-",(F66/$D$50*$D$47*$B$68)*($B$57/$D$64))</f>
        <v>830.65706484656994</v>
      </c>
      <c r="H66" s="264">
        <f t="shared" si="0"/>
        <v>103.83213310582124</v>
      </c>
    </row>
    <row r="67" spans="1:8" ht="27" customHeight="1" x14ac:dyDescent="0.4">
      <c r="A67" s="123" t="s">
        <v>101</v>
      </c>
      <c r="B67" s="124">
        <v>1</v>
      </c>
      <c r="C67" s="531"/>
      <c r="D67" s="526"/>
      <c r="E67" s="183">
        <v>4</v>
      </c>
      <c r="F67" s="184"/>
      <c r="G67" s="262" t="str">
        <f>IF(ISBLANK(F67),"-",(F67/$D$50*$D$47*$B$68)*($B$57/$D$64))</f>
        <v>-</v>
      </c>
      <c r="H67" s="265" t="str">
        <f t="shared" si="0"/>
        <v>-</v>
      </c>
    </row>
    <row r="68" spans="1:8" ht="26.25" customHeight="1" x14ac:dyDescent="0.4">
      <c r="A68" s="123" t="s">
        <v>102</v>
      </c>
      <c r="B68" s="185">
        <f>(B67/B66)*(B65/B64)*(B63/B62)*(B61/B60)*B59</f>
        <v>5000</v>
      </c>
      <c r="C68" s="521" t="s">
        <v>103</v>
      </c>
      <c r="D68" s="524">
        <v>1049.68</v>
      </c>
      <c r="E68" s="180">
        <v>1</v>
      </c>
      <c r="F68" s="181">
        <v>76818994</v>
      </c>
      <c r="G68" s="245">
        <f>IF(ISBLANK(F68),"-",(F68/$D$50*$D$47*$B$68)*($B$57/$D$68))</f>
        <v>830.05928485140407</v>
      </c>
      <c r="H68" s="264">
        <f t="shared" si="0"/>
        <v>103.75741060642551</v>
      </c>
    </row>
    <row r="69" spans="1:8" ht="27" customHeight="1" x14ac:dyDescent="0.4">
      <c r="A69" s="170" t="s">
        <v>104</v>
      </c>
      <c r="B69" s="186">
        <f>(D47*B68)/B56*B57</f>
        <v>1047.019</v>
      </c>
      <c r="C69" s="522"/>
      <c r="D69" s="525"/>
      <c r="E69" s="182">
        <v>2</v>
      </c>
      <c r="F69" s="135">
        <v>76288151</v>
      </c>
      <c r="G69" s="246">
        <f>IF(ISBLANK(F69),"-",(F69/$D$50*$D$47*$B$68)*($B$57/$D$68))</f>
        <v>824.32331854926304</v>
      </c>
      <c r="H69" s="264">
        <f t="shared" si="0"/>
        <v>103.04041481865789</v>
      </c>
    </row>
    <row r="70" spans="1:8" ht="26.25" customHeight="1" x14ac:dyDescent="0.4">
      <c r="A70" s="527" t="s">
        <v>77</v>
      </c>
      <c r="B70" s="528"/>
      <c r="C70" s="522"/>
      <c r="D70" s="525"/>
      <c r="E70" s="182">
        <v>3</v>
      </c>
      <c r="F70" s="135">
        <v>76716098</v>
      </c>
      <c r="G70" s="246">
        <f>IF(ISBLANK(F70),"-",(F70/$D$50*$D$47*$B$68)*($B$57/$D$68))</f>
        <v>828.94745331434865</v>
      </c>
      <c r="H70" s="264">
        <f t="shared" si="0"/>
        <v>103.61843166429358</v>
      </c>
    </row>
    <row r="71" spans="1:8" ht="27" customHeight="1" x14ac:dyDescent="0.4">
      <c r="A71" s="529"/>
      <c r="B71" s="530"/>
      <c r="C71" s="523"/>
      <c r="D71" s="526"/>
      <c r="E71" s="183">
        <v>4</v>
      </c>
      <c r="F71" s="184"/>
      <c r="G71" s="262" t="str">
        <f>IF(ISBLANK(F71),"-",(F71/$D$50*$D$47*$B$68)*($B$57/$D$68))</f>
        <v>-</v>
      </c>
      <c r="H71" s="265" t="str">
        <f t="shared" si="0"/>
        <v>-</v>
      </c>
    </row>
    <row r="72" spans="1:8" ht="26.25" customHeight="1" x14ac:dyDescent="0.4">
      <c r="A72" s="187"/>
      <c r="B72" s="187"/>
      <c r="C72" s="187"/>
      <c r="D72" s="187"/>
      <c r="E72" s="187"/>
      <c r="F72" s="189" t="s">
        <v>70</v>
      </c>
      <c r="G72" s="251">
        <f>AVERAGE(G60:G71)</f>
        <v>828.98889434368607</v>
      </c>
      <c r="H72" s="266">
        <f>AVERAGE(H60:H71)</f>
        <v>103.62361179296073</v>
      </c>
    </row>
    <row r="73" spans="1:8" ht="26.25" customHeight="1" x14ac:dyDescent="0.4">
      <c r="C73" s="187"/>
      <c r="D73" s="187"/>
      <c r="E73" s="187"/>
      <c r="F73" s="190" t="s">
        <v>83</v>
      </c>
      <c r="G73" s="250">
        <f>STDEV(G60:G71)/G72</f>
        <v>5.0869918674399228E-3</v>
      </c>
      <c r="H73" s="250">
        <f>STDEV(H60:H71)/H72</f>
        <v>5.0869918674399141E-3</v>
      </c>
    </row>
    <row r="74" spans="1:8" ht="27" customHeight="1" x14ac:dyDescent="0.4">
      <c r="A74" s="187"/>
      <c r="B74" s="187"/>
      <c r="C74" s="188"/>
      <c r="D74" s="188"/>
      <c r="E74" s="191"/>
      <c r="F74" s="192" t="s">
        <v>20</v>
      </c>
      <c r="G74" s="193">
        <f>COUNT(G60:G71)</f>
        <v>9</v>
      </c>
      <c r="H74" s="193">
        <f>COUNT(H60:H71)</f>
        <v>9</v>
      </c>
    </row>
    <row r="76" spans="1:8" ht="26.25" customHeight="1" x14ac:dyDescent="0.4">
      <c r="A76" s="107" t="s">
        <v>105</v>
      </c>
      <c r="B76" s="194" t="s">
        <v>106</v>
      </c>
      <c r="C76" s="508" t="str">
        <f>B26</f>
        <v>SULFAMETHOXAZOLE</v>
      </c>
      <c r="D76" s="508"/>
      <c r="E76" s="195" t="s">
        <v>107</v>
      </c>
      <c r="F76" s="195"/>
      <c r="G76" s="282">
        <f>H72</f>
        <v>103.62361179296073</v>
      </c>
      <c r="H76" s="197"/>
    </row>
    <row r="77" spans="1:8" ht="18.75" x14ac:dyDescent="0.3">
      <c r="A77" s="106" t="s">
        <v>108</v>
      </c>
      <c r="B77" s="106" t="s">
        <v>109</v>
      </c>
    </row>
    <row r="78" spans="1:8" ht="18.75" x14ac:dyDescent="0.3">
      <c r="A78" s="106"/>
      <c r="B78" s="106"/>
    </row>
    <row r="79" spans="1:8" ht="26.25" customHeight="1" x14ac:dyDescent="0.4">
      <c r="A79" s="107" t="s">
        <v>4</v>
      </c>
      <c r="B79" s="544" t="str">
        <f>B26</f>
        <v>SULFAMETHOXAZOLE</v>
      </c>
      <c r="C79" s="544"/>
    </row>
    <row r="80" spans="1:8" ht="26.25" customHeight="1" x14ac:dyDescent="0.4">
      <c r="A80" s="108" t="s">
        <v>47</v>
      </c>
      <c r="B80" s="544" t="str">
        <f>B27</f>
        <v>S12-6</v>
      </c>
      <c r="C80" s="544"/>
    </row>
    <row r="81" spans="1:12" ht="27" customHeight="1" x14ac:dyDescent="0.4">
      <c r="A81" s="108" t="s">
        <v>6</v>
      </c>
      <c r="B81" s="198">
        <f>B28</f>
        <v>99.02</v>
      </c>
    </row>
    <row r="82" spans="1:12" s="14" customFormat="1" ht="27" customHeight="1" x14ac:dyDescent="0.4">
      <c r="A82" s="108" t="s">
        <v>48</v>
      </c>
      <c r="B82" s="110">
        <v>0</v>
      </c>
      <c r="C82" s="510" t="s">
        <v>49</v>
      </c>
      <c r="D82" s="511"/>
      <c r="E82" s="511"/>
      <c r="F82" s="511"/>
      <c r="G82" s="512"/>
      <c r="I82" s="111"/>
      <c r="J82" s="111"/>
      <c r="K82" s="111"/>
      <c r="L82" s="111"/>
    </row>
    <row r="83" spans="1:12" s="14" customFormat="1" ht="19.5" customHeight="1" x14ac:dyDescent="0.3">
      <c r="A83" s="108" t="s">
        <v>50</v>
      </c>
      <c r="B83" s="112">
        <f>B81-B82</f>
        <v>99.02</v>
      </c>
      <c r="C83" s="113"/>
      <c r="D83" s="113"/>
      <c r="E83" s="113"/>
      <c r="F83" s="113"/>
      <c r="G83" s="114"/>
      <c r="I83" s="111"/>
      <c r="J83" s="111"/>
      <c r="K83" s="111"/>
      <c r="L83" s="111"/>
    </row>
    <row r="84" spans="1:12" s="14" customFormat="1" ht="27" customHeight="1" x14ac:dyDescent="0.4">
      <c r="A84" s="108" t="s">
        <v>51</v>
      </c>
      <c r="B84" s="115">
        <v>1</v>
      </c>
      <c r="C84" s="513" t="s">
        <v>110</v>
      </c>
      <c r="D84" s="514"/>
      <c r="E84" s="514"/>
      <c r="F84" s="514"/>
      <c r="G84" s="514"/>
      <c r="H84" s="515"/>
      <c r="I84" s="111"/>
      <c r="J84" s="111"/>
      <c r="K84" s="111"/>
      <c r="L84" s="111"/>
    </row>
    <row r="85" spans="1:12" s="14" customFormat="1" ht="27" customHeight="1" x14ac:dyDescent="0.4">
      <c r="A85" s="108" t="s">
        <v>53</v>
      </c>
      <c r="B85" s="115">
        <v>1</v>
      </c>
      <c r="C85" s="513" t="s">
        <v>111</v>
      </c>
      <c r="D85" s="514"/>
      <c r="E85" s="514"/>
      <c r="F85" s="514"/>
      <c r="G85" s="514"/>
      <c r="H85" s="515"/>
      <c r="I85" s="111"/>
      <c r="J85" s="111"/>
      <c r="K85" s="111"/>
      <c r="L85" s="111"/>
    </row>
    <row r="86" spans="1:12" s="14" customFormat="1" ht="18.75" x14ac:dyDescent="0.3">
      <c r="A86" s="108"/>
      <c r="B86" s="118"/>
      <c r="C86" s="119"/>
      <c r="D86" s="119"/>
      <c r="E86" s="119"/>
      <c r="F86" s="119"/>
      <c r="G86" s="119"/>
      <c r="H86" s="119"/>
      <c r="I86" s="111"/>
      <c r="J86" s="111"/>
      <c r="K86" s="111"/>
      <c r="L86" s="111"/>
    </row>
    <row r="87" spans="1:12" s="14" customFormat="1" ht="18.75" x14ac:dyDescent="0.3">
      <c r="A87" s="108" t="s">
        <v>55</v>
      </c>
      <c r="B87" s="120">
        <f>B84/B85</f>
        <v>1</v>
      </c>
      <c r="C87" s="98" t="s">
        <v>56</v>
      </c>
      <c r="D87" s="98"/>
      <c r="E87" s="98"/>
      <c r="F87" s="98"/>
      <c r="G87" s="98"/>
      <c r="I87" s="111"/>
      <c r="J87" s="111"/>
      <c r="K87" s="111"/>
      <c r="L87" s="111"/>
    </row>
    <row r="88" spans="1:12" ht="19.5" customHeight="1" x14ac:dyDescent="0.3">
      <c r="A88" s="106"/>
      <c r="B88" s="106"/>
    </row>
    <row r="89" spans="1:12" ht="27" customHeight="1" x14ac:dyDescent="0.4">
      <c r="A89" s="121" t="s">
        <v>57</v>
      </c>
      <c r="B89" s="122">
        <v>100</v>
      </c>
      <c r="D89" s="199" t="s">
        <v>58</v>
      </c>
      <c r="E89" s="200"/>
      <c r="F89" s="516" t="s">
        <v>59</v>
      </c>
      <c r="G89" s="517"/>
    </row>
    <row r="90" spans="1:12" ht="27" customHeight="1" x14ac:dyDescent="0.4">
      <c r="A90" s="123" t="s">
        <v>60</v>
      </c>
      <c r="B90" s="124">
        <v>1</v>
      </c>
      <c r="C90" s="201" t="s">
        <v>61</v>
      </c>
      <c r="D90" s="126" t="s">
        <v>62</v>
      </c>
      <c r="E90" s="127" t="s">
        <v>63</v>
      </c>
      <c r="F90" s="126" t="s">
        <v>62</v>
      </c>
      <c r="G90" s="202" t="s">
        <v>63</v>
      </c>
      <c r="I90" s="129" t="s">
        <v>64</v>
      </c>
    </row>
    <row r="91" spans="1:12" ht="26.25" customHeight="1" x14ac:dyDescent="0.4">
      <c r="A91" s="123" t="s">
        <v>65</v>
      </c>
      <c r="B91" s="124">
        <v>1</v>
      </c>
      <c r="C91" s="203">
        <v>1</v>
      </c>
      <c r="D91" s="317">
        <v>77963811</v>
      </c>
      <c r="E91" s="131">
        <f>IF(ISBLANK(D91),"-",$D$101/$D$98*D91)</f>
        <v>82144411.160515472</v>
      </c>
      <c r="F91" s="317">
        <v>74576972</v>
      </c>
      <c r="G91" s="132">
        <f>IF(ISBLANK(F91),"-",$D$101/$F$98*F91)</f>
        <v>82092850.55812788</v>
      </c>
      <c r="I91" s="133"/>
    </row>
    <row r="92" spans="1:12" ht="26.25" customHeight="1" x14ac:dyDescent="0.4">
      <c r="A92" s="123" t="s">
        <v>66</v>
      </c>
      <c r="B92" s="124">
        <v>1</v>
      </c>
      <c r="C92" s="188">
        <v>2</v>
      </c>
      <c r="D92" s="322">
        <v>78087193</v>
      </c>
      <c r="E92" s="136">
        <f>IF(ISBLANK(D92),"-",$D$101/$D$98*D92)</f>
        <v>82274409.189188123</v>
      </c>
      <c r="F92" s="322">
        <v>74306523</v>
      </c>
      <c r="G92" s="137">
        <f>IF(ISBLANK(F92),"-",$D$101/$F$98*F92)</f>
        <v>81795145.666856691</v>
      </c>
      <c r="I92" s="518">
        <f>ABS((F96/D96*D95)-F95)/D95</f>
        <v>2.1335585933618516E-3</v>
      </c>
    </row>
    <row r="93" spans="1:12" ht="26.25" customHeight="1" x14ac:dyDescent="0.4">
      <c r="A93" s="123" t="s">
        <v>67</v>
      </c>
      <c r="B93" s="124">
        <v>1</v>
      </c>
      <c r="C93" s="188">
        <v>3</v>
      </c>
      <c r="D93" s="322">
        <v>77846301</v>
      </c>
      <c r="E93" s="136">
        <f>IF(ISBLANK(D93),"-",$D$101/$D$98*D93)</f>
        <v>82020600.002086192</v>
      </c>
      <c r="F93" s="322">
        <v>74494528</v>
      </c>
      <c r="G93" s="137">
        <f>IF(ISBLANK(F93),"-",$D$101/$F$98*F93)</f>
        <v>82002097.839293793</v>
      </c>
      <c r="I93" s="518"/>
    </row>
    <row r="94" spans="1:12" ht="27" customHeight="1" x14ac:dyDescent="0.4">
      <c r="A94" s="123" t="s">
        <v>68</v>
      </c>
      <c r="B94" s="124">
        <v>1</v>
      </c>
      <c r="C94" s="204">
        <v>4</v>
      </c>
      <c r="D94" s="140"/>
      <c r="E94" s="141" t="str">
        <f>IF(ISBLANK(D94),"-",$D$101/$D$98*D94)</f>
        <v>-</v>
      </c>
      <c r="F94" s="205"/>
      <c r="G94" s="142" t="str">
        <f>IF(ISBLANK(F94),"-",$D$101/$F$98*F94)</f>
        <v>-</v>
      </c>
      <c r="I94" s="143"/>
    </row>
    <row r="95" spans="1:12" ht="27" customHeight="1" x14ac:dyDescent="0.4">
      <c r="A95" s="123" t="s">
        <v>69</v>
      </c>
      <c r="B95" s="124">
        <v>1</v>
      </c>
      <c r="C95" s="206" t="s">
        <v>70</v>
      </c>
      <c r="D95" s="207">
        <f>AVERAGE(D91:D94)</f>
        <v>77965768.333333328</v>
      </c>
      <c r="E95" s="146">
        <f>AVERAGE(E91:E94)</f>
        <v>82146473.450596601</v>
      </c>
      <c r="F95" s="208">
        <f>AVERAGE(F91:F94)</f>
        <v>74459341</v>
      </c>
      <c r="G95" s="209">
        <f>AVERAGE(G91:G94)</f>
        <v>81963364.688092783</v>
      </c>
    </row>
    <row r="96" spans="1:12" ht="26.25" customHeight="1" x14ac:dyDescent="0.4">
      <c r="A96" s="123" t="s">
        <v>71</v>
      </c>
      <c r="B96" s="109">
        <v>1</v>
      </c>
      <c r="C96" s="210" t="s">
        <v>112</v>
      </c>
      <c r="D96" s="211">
        <v>17.04</v>
      </c>
      <c r="E96" s="138"/>
      <c r="F96" s="150">
        <v>16.309999999999999</v>
      </c>
    </row>
    <row r="97" spans="1:10" ht="26.25" customHeight="1" x14ac:dyDescent="0.4">
      <c r="A97" s="123" t="s">
        <v>73</v>
      </c>
      <c r="B97" s="109">
        <v>1</v>
      </c>
      <c r="C97" s="212" t="s">
        <v>113</v>
      </c>
      <c r="D97" s="213">
        <f>D96*$B$87</f>
        <v>17.04</v>
      </c>
      <c r="E97" s="153"/>
      <c r="F97" s="152">
        <f>F96*$B$87</f>
        <v>16.309999999999999</v>
      </c>
    </row>
    <row r="98" spans="1:10" ht="19.5" customHeight="1" x14ac:dyDescent="0.3">
      <c r="A98" s="123" t="s">
        <v>75</v>
      </c>
      <c r="B98" s="214">
        <f>(B97/B96)*(B95/B94)*(B93/B92)*(B91/B90)*B89</f>
        <v>100</v>
      </c>
      <c r="C98" s="212" t="s">
        <v>114</v>
      </c>
      <c r="D98" s="215">
        <f>D97*$B$83/100</f>
        <v>16.873007999999999</v>
      </c>
      <c r="E98" s="156"/>
      <c r="F98" s="155">
        <f>F97*$B$83/100</f>
        <v>16.150161999999998</v>
      </c>
    </row>
    <row r="99" spans="1:10" ht="19.5" customHeight="1" x14ac:dyDescent="0.3">
      <c r="A99" s="504" t="s">
        <v>77</v>
      </c>
      <c r="B99" s="519"/>
      <c r="C99" s="212" t="s">
        <v>115</v>
      </c>
      <c r="D99" s="216">
        <f>D98/$B$98</f>
        <v>0.16873007999999998</v>
      </c>
      <c r="E99" s="156"/>
      <c r="F99" s="159">
        <f>F98/$B$98</f>
        <v>0.16150161999999998</v>
      </c>
      <c r="G99" s="217"/>
      <c r="H99" s="148"/>
    </row>
    <row r="100" spans="1:10" ht="19.5" customHeight="1" x14ac:dyDescent="0.3">
      <c r="A100" s="506"/>
      <c r="B100" s="520"/>
      <c r="C100" s="212" t="s">
        <v>79</v>
      </c>
      <c r="D100" s="218">
        <f>$B$56/$B$116</f>
        <v>0.17777777777777778</v>
      </c>
      <c r="F100" s="164"/>
      <c r="G100" s="219"/>
      <c r="H100" s="148"/>
    </row>
    <row r="101" spans="1:10" ht="18.75" x14ac:dyDescent="0.3">
      <c r="C101" s="212" t="s">
        <v>80</v>
      </c>
      <c r="D101" s="213">
        <f>D100*$B$98</f>
        <v>17.777777777777779</v>
      </c>
      <c r="F101" s="164"/>
      <c r="G101" s="217"/>
      <c r="H101" s="148"/>
    </row>
    <row r="102" spans="1:10" ht="19.5" customHeight="1" x14ac:dyDescent="0.3">
      <c r="C102" s="220" t="s">
        <v>81</v>
      </c>
      <c r="D102" s="221">
        <f>D101/B34</f>
        <v>17.777777777777779</v>
      </c>
      <c r="F102" s="168"/>
      <c r="G102" s="217"/>
      <c r="H102" s="148"/>
      <c r="J102" s="222"/>
    </row>
    <row r="103" spans="1:10" ht="18.75" x14ac:dyDescent="0.3">
      <c r="C103" s="223" t="s">
        <v>116</v>
      </c>
      <c r="D103" s="224">
        <f>AVERAGE(E91:E94,G91:G94)</f>
        <v>82054919.069344699</v>
      </c>
      <c r="F103" s="168"/>
      <c r="G103" s="225"/>
      <c r="H103" s="148"/>
      <c r="J103" s="226"/>
    </row>
    <row r="104" spans="1:10" ht="18.75" x14ac:dyDescent="0.3">
      <c r="C104" s="190" t="s">
        <v>83</v>
      </c>
      <c r="D104" s="227">
        <f>STDEV(E91:E94,G91:G94)/D103</f>
        <v>1.9580742934397393E-3</v>
      </c>
      <c r="F104" s="168"/>
      <c r="G104" s="217"/>
      <c r="H104" s="148"/>
      <c r="J104" s="226"/>
    </row>
    <row r="105" spans="1:10" ht="19.5" customHeight="1" x14ac:dyDescent="0.3">
      <c r="C105" s="192" t="s">
        <v>20</v>
      </c>
      <c r="D105" s="228">
        <f>COUNT(E91:E94,G91:G94)</f>
        <v>6</v>
      </c>
      <c r="F105" s="168"/>
      <c r="G105" s="217"/>
      <c r="H105" s="148"/>
      <c r="J105" s="226"/>
    </row>
    <row r="106" spans="1:10" ht="19.5" customHeight="1" x14ac:dyDescent="0.3">
      <c r="A106" s="172"/>
      <c r="B106" s="172"/>
      <c r="C106" s="172"/>
      <c r="D106" s="172"/>
      <c r="E106" s="172"/>
    </row>
    <row r="107" spans="1:10" ht="27" customHeight="1" x14ac:dyDescent="0.4">
      <c r="A107" s="121" t="s">
        <v>117</v>
      </c>
      <c r="B107" s="122">
        <v>900</v>
      </c>
      <c r="C107" s="267" t="s">
        <v>118</v>
      </c>
      <c r="D107" s="267" t="s">
        <v>62</v>
      </c>
      <c r="E107" s="267" t="s">
        <v>119</v>
      </c>
      <c r="F107" s="229" t="s">
        <v>120</v>
      </c>
    </row>
    <row r="108" spans="1:10" ht="26.25" customHeight="1" x14ac:dyDescent="0.4">
      <c r="A108" s="123" t="s">
        <v>121</v>
      </c>
      <c r="B108" s="124">
        <v>10</v>
      </c>
      <c r="C108" s="272">
        <v>1</v>
      </c>
      <c r="D108" s="273">
        <v>83741543</v>
      </c>
      <c r="E108" s="247">
        <f t="shared" ref="E108:E113" si="1">IF(ISBLANK(D108),"-",D108/$D$103*$D$100*$B$116)</f>
        <v>816.44385443100555</v>
      </c>
      <c r="F108" s="274">
        <f t="shared" ref="F108:F113" si="2">IF(ISBLANK(D108), "-", (E108/$B$56)*100)</f>
        <v>102.05548180387569</v>
      </c>
    </row>
    <row r="109" spans="1:10" ht="26.25" customHeight="1" x14ac:dyDescent="0.4">
      <c r="A109" s="123" t="s">
        <v>94</v>
      </c>
      <c r="B109" s="124">
        <v>50</v>
      </c>
      <c r="C109" s="268">
        <v>2</v>
      </c>
      <c r="D109" s="270">
        <v>81714119</v>
      </c>
      <c r="E109" s="248">
        <f t="shared" si="1"/>
        <v>796.67734660434746</v>
      </c>
      <c r="F109" s="275">
        <f t="shared" si="2"/>
        <v>99.584668325543433</v>
      </c>
    </row>
    <row r="110" spans="1:10" ht="26.25" customHeight="1" x14ac:dyDescent="0.4">
      <c r="A110" s="123" t="s">
        <v>95</v>
      </c>
      <c r="B110" s="124">
        <v>1</v>
      </c>
      <c r="C110" s="268">
        <v>3</v>
      </c>
      <c r="D110" s="270">
        <v>83325777</v>
      </c>
      <c r="E110" s="248">
        <f t="shared" si="1"/>
        <v>812.3903156088063</v>
      </c>
      <c r="F110" s="275">
        <f t="shared" si="2"/>
        <v>101.5487894511008</v>
      </c>
    </row>
    <row r="111" spans="1:10" ht="26.25" customHeight="1" x14ac:dyDescent="0.4">
      <c r="A111" s="123" t="s">
        <v>96</v>
      </c>
      <c r="B111" s="124">
        <v>1</v>
      </c>
      <c r="C111" s="268">
        <v>4</v>
      </c>
      <c r="D111" s="270">
        <v>82639890</v>
      </c>
      <c r="E111" s="248">
        <f t="shared" si="1"/>
        <v>805.70321377233654</v>
      </c>
      <c r="F111" s="275">
        <f t="shared" si="2"/>
        <v>100.71290172154205</v>
      </c>
    </row>
    <row r="112" spans="1:10" ht="26.25" customHeight="1" x14ac:dyDescent="0.4">
      <c r="A112" s="123" t="s">
        <v>97</v>
      </c>
      <c r="B112" s="124">
        <v>1</v>
      </c>
      <c r="C112" s="268">
        <v>5</v>
      </c>
      <c r="D112" s="270">
        <v>82371013</v>
      </c>
      <c r="E112" s="248">
        <f t="shared" si="1"/>
        <v>803.08177922045763</v>
      </c>
      <c r="F112" s="275">
        <f t="shared" si="2"/>
        <v>100.3852224025572</v>
      </c>
    </row>
    <row r="113" spans="1:10" ht="27" customHeight="1" x14ac:dyDescent="0.4">
      <c r="A113" s="123" t="s">
        <v>99</v>
      </c>
      <c r="B113" s="124">
        <v>1</v>
      </c>
      <c r="C113" s="269">
        <v>6</v>
      </c>
      <c r="D113" s="271">
        <v>81809503</v>
      </c>
      <c r="E113" s="249">
        <f t="shared" si="1"/>
        <v>797.60729938311397</v>
      </c>
      <c r="F113" s="276">
        <f t="shared" si="2"/>
        <v>99.700912422889246</v>
      </c>
    </row>
    <row r="114" spans="1:10" ht="27" customHeight="1" x14ac:dyDescent="0.4">
      <c r="A114" s="123" t="s">
        <v>100</v>
      </c>
      <c r="B114" s="124">
        <v>1</v>
      </c>
      <c r="C114" s="230"/>
      <c r="D114" s="188"/>
      <c r="E114" s="97"/>
      <c r="F114" s="277"/>
    </row>
    <row r="115" spans="1:10" ht="26.25" customHeight="1" x14ac:dyDescent="0.4">
      <c r="A115" s="123" t="s">
        <v>101</v>
      </c>
      <c r="B115" s="124">
        <v>1</v>
      </c>
      <c r="C115" s="230"/>
      <c r="D115" s="254" t="s">
        <v>70</v>
      </c>
      <c r="E115" s="256">
        <f>AVERAGE(E108:E113)</f>
        <v>805.31730150334442</v>
      </c>
      <c r="F115" s="278">
        <f>AVERAGE(F108:F113)</f>
        <v>100.66466268791805</v>
      </c>
    </row>
    <row r="116" spans="1:10" ht="27" customHeight="1" x14ac:dyDescent="0.4">
      <c r="A116" s="123" t="s">
        <v>102</v>
      </c>
      <c r="B116" s="154">
        <f>(B115/B114)*(B113/B112)*(B111/B110)*(B109/B108)*B107</f>
        <v>4500</v>
      </c>
      <c r="C116" s="231"/>
      <c r="D116" s="255" t="s">
        <v>83</v>
      </c>
      <c r="E116" s="253">
        <f>STDEV(E108:E113)/E115</f>
        <v>9.8257728077416201E-3</v>
      </c>
      <c r="F116" s="232">
        <f>STDEV(F108:F113)/F115</f>
        <v>9.8257728077416444E-3</v>
      </c>
      <c r="I116" s="97"/>
    </row>
    <row r="117" spans="1:10" ht="27" customHeight="1" x14ac:dyDescent="0.4">
      <c r="A117" s="504" t="s">
        <v>77</v>
      </c>
      <c r="B117" s="505"/>
      <c r="C117" s="233"/>
      <c r="D117" s="192" t="s">
        <v>20</v>
      </c>
      <c r="E117" s="258">
        <f>COUNT(E108:E113)</f>
        <v>6</v>
      </c>
      <c r="F117" s="259">
        <f>COUNT(F108:F113)</f>
        <v>6</v>
      </c>
      <c r="I117" s="97"/>
      <c r="J117" s="226"/>
    </row>
    <row r="118" spans="1:10" ht="26.25" customHeight="1" x14ac:dyDescent="0.3">
      <c r="A118" s="506"/>
      <c r="B118" s="507"/>
      <c r="C118" s="97"/>
      <c r="D118" s="257"/>
      <c r="E118" s="532" t="s">
        <v>122</v>
      </c>
      <c r="F118" s="533"/>
      <c r="G118" s="97"/>
      <c r="H118" s="97"/>
      <c r="I118" s="97"/>
    </row>
    <row r="119" spans="1:10" ht="25.5" customHeight="1" x14ac:dyDescent="0.4">
      <c r="A119" s="242"/>
      <c r="B119" s="119"/>
      <c r="C119" s="97"/>
      <c r="D119" s="255" t="s">
        <v>123</v>
      </c>
      <c r="E119" s="260">
        <f>MIN(E108:E113)</f>
        <v>796.67734660434746</v>
      </c>
      <c r="F119" s="279">
        <f>MIN(F108:F113)</f>
        <v>99.584668325543433</v>
      </c>
      <c r="G119" s="97"/>
      <c r="H119" s="97"/>
      <c r="I119" s="97"/>
    </row>
    <row r="120" spans="1:10" ht="24" customHeight="1" x14ac:dyDescent="0.4">
      <c r="A120" s="242"/>
      <c r="B120" s="119"/>
      <c r="C120" s="97"/>
      <c r="D120" s="165" t="s">
        <v>124</v>
      </c>
      <c r="E120" s="261">
        <f>MAX(E108:E113)</f>
        <v>816.44385443100555</v>
      </c>
      <c r="F120" s="280">
        <f>MAX(F108:F113)</f>
        <v>102.05548180387569</v>
      </c>
      <c r="G120" s="97"/>
      <c r="H120" s="97"/>
      <c r="I120" s="97"/>
    </row>
    <row r="121" spans="1:10" ht="27" customHeight="1" x14ac:dyDescent="0.3">
      <c r="A121" s="242"/>
      <c r="B121" s="119"/>
      <c r="C121" s="97"/>
      <c r="D121" s="97"/>
      <c r="E121" s="97"/>
      <c r="F121" s="188"/>
      <c r="G121" s="97"/>
      <c r="H121" s="97"/>
      <c r="I121" s="97"/>
    </row>
    <row r="122" spans="1:10" ht="25.5" customHeight="1" x14ac:dyDescent="0.3">
      <c r="A122" s="242"/>
      <c r="B122" s="119"/>
      <c r="C122" s="97"/>
      <c r="D122" s="97"/>
      <c r="E122" s="97"/>
      <c r="F122" s="188"/>
      <c r="G122" s="97"/>
      <c r="H122" s="97"/>
      <c r="I122" s="97"/>
    </row>
    <row r="123" spans="1:10" ht="18.75" x14ac:dyDescent="0.3">
      <c r="A123" s="242"/>
      <c r="B123" s="119"/>
      <c r="C123" s="97"/>
      <c r="D123" s="97"/>
      <c r="E123" s="97"/>
      <c r="F123" s="188"/>
      <c r="G123" s="97"/>
      <c r="H123" s="97"/>
      <c r="I123" s="97"/>
    </row>
    <row r="124" spans="1:10" ht="45.75" customHeight="1" x14ac:dyDescent="0.65">
      <c r="A124" s="107" t="s">
        <v>105</v>
      </c>
      <c r="B124" s="194" t="s">
        <v>125</v>
      </c>
      <c r="C124" s="508" t="str">
        <f>B26</f>
        <v>SULFAMETHOXAZOLE</v>
      </c>
      <c r="D124" s="508"/>
      <c r="E124" s="195" t="s">
        <v>126</v>
      </c>
      <c r="F124" s="195"/>
      <c r="G124" s="281">
        <f>F115</f>
        <v>100.66466268791805</v>
      </c>
      <c r="H124" s="97"/>
      <c r="I124" s="97"/>
    </row>
    <row r="125" spans="1:10" ht="45.75" customHeight="1" x14ac:dyDescent="0.65">
      <c r="A125" s="107"/>
      <c r="B125" s="194" t="s">
        <v>127</v>
      </c>
      <c r="C125" s="108" t="s">
        <v>128</v>
      </c>
      <c r="D125" s="281">
        <f>MIN(F108:F113)</f>
        <v>99.584668325543433</v>
      </c>
      <c r="E125" s="206" t="s">
        <v>129</v>
      </c>
      <c r="F125" s="281">
        <f>MAX(F108:F113)</f>
        <v>102.05548180387569</v>
      </c>
      <c r="G125" s="196"/>
      <c r="H125" s="97"/>
      <c r="I125" s="97"/>
    </row>
    <row r="126" spans="1:10" ht="19.5" customHeight="1" x14ac:dyDescent="0.3">
      <c r="A126" s="234"/>
      <c r="B126" s="234"/>
      <c r="C126" s="235"/>
      <c r="D126" s="235"/>
      <c r="E126" s="235"/>
      <c r="F126" s="235"/>
      <c r="G126" s="235"/>
      <c r="H126" s="235"/>
    </row>
    <row r="127" spans="1:10" ht="18.75" x14ac:dyDescent="0.3">
      <c r="B127" s="509" t="s">
        <v>25</v>
      </c>
      <c r="C127" s="509"/>
      <c r="E127" s="201" t="s">
        <v>26</v>
      </c>
      <c r="F127" s="236"/>
      <c r="G127" s="509" t="s">
        <v>27</v>
      </c>
      <c r="H127" s="509"/>
    </row>
    <row r="128" spans="1:10" ht="69.95" customHeight="1" x14ac:dyDescent="0.3">
      <c r="A128" s="237" t="s">
        <v>28</v>
      </c>
      <c r="B128" s="238"/>
      <c r="C128" s="238"/>
      <c r="E128" s="238"/>
      <c r="F128" s="97"/>
      <c r="G128" s="239"/>
      <c r="H128" s="239"/>
    </row>
    <row r="129" spans="1:9" ht="69.95" customHeight="1" x14ac:dyDescent="0.3">
      <c r="A129" s="237" t="s">
        <v>29</v>
      </c>
      <c r="B129" s="240"/>
      <c r="C129" s="240"/>
      <c r="E129" s="240"/>
      <c r="F129" s="97"/>
      <c r="G129" s="241"/>
      <c r="H129" s="241"/>
    </row>
    <row r="130" spans="1:9" ht="18.75" x14ac:dyDescent="0.3">
      <c r="A130" s="187"/>
      <c r="B130" s="187"/>
      <c r="C130" s="188"/>
      <c r="D130" s="188"/>
      <c r="E130" s="188"/>
      <c r="F130" s="191"/>
      <c r="G130" s="188"/>
      <c r="H130" s="188"/>
      <c r="I130" s="97"/>
    </row>
    <row r="131" spans="1:9" ht="18.75" x14ac:dyDescent="0.3">
      <c r="A131" s="187"/>
      <c r="B131" s="187"/>
      <c r="C131" s="188"/>
      <c r="D131" s="188"/>
      <c r="E131" s="188"/>
      <c r="F131" s="191"/>
      <c r="G131" s="188"/>
      <c r="H131" s="188"/>
      <c r="I131" s="97"/>
    </row>
    <row r="132" spans="1:9" ht="18.75" x14ac:dyDescent="0.3">
      <c r="A132" s="187"/>
      <c r="B132" s="187"/>
      <c r="C132" s="188"/>
      <c r="D132" s="188"/>
      <c r="E132" s="188"/>
      <c r="F132" s="191"/>
      <c r="G132" s="188"/>
      <c r="H132" s="188"/>
      <c r="I132" s="97"/>
    </row>
    <row r="133" spans="1:9" ht="18.75" x14ac:dyDescent="0.3">
      <c r="A133" s="187"/>
      <c r="B133" s="187"/>
      <c r="C133" s="188"/>
      <c r="D133" s="188"/>
      <c r="E133" s="188"/>
      <c r="F133" s="191"/>
      <c r="G133" s="188"/>
      <c r="H133" s="188"/>
      <c r="I133" s="97"/>
    </row>
    <row r="134" spans="1:9" ht="18.75" x14ac:dyDescent="0.3">
      <c r="A134" s="187"/>
      <c r="B134" s="187"/>
      <c r="C134" s="188"/>
      <c r="D134" s="188"/>
      <c r="E134" s="188"/>
      <c r="F134" s="191"/>
      <c r="G134" s="188"/>
      <c r="H134" s="188"/>
      <c r="I134" s="97"/>
    </row>
    <row r="135" spans="1:9" ht="18.75" x14ac:dyDescent="0.3">
      <c r="A135" s="187"/>
      <c r="B135" s="187"/>
      <c r="C135" s="188"/>
      <c r="D135" s="188"/>
      <c r="E135" s="188"/>
      <c r="F135" s="191"/>
      <c r="G135" s="188"/>
      <c r="H135" s="188"/>
      <c r="I135" s="97"/>
    </row>
    <row r="136" spans="1:9" ht="18.75" x14ac:dyDescent="0.3">
      <c r="A136" s="187"/>
      <c r="B136" s="187"/>
      <c r="C136" s="188"/>
      <c r="D136" s="188"/>
      <c r="E136" s="188"/>
      <c r="F136" s="191"/>
      <c r="G136" s="188"/>
      <c r="H136" s="188"/>
      <c r="I136" s="97"/>
    </row>
    <row r="137" spans="1:9" ht="18.75" x14ac:dyDescent="0.3">
      <c r="A137" s="187"/>
      <c r="B137" s="187"/>
      <c r="C137" s="188"/>
      <c r="D137" s="188"/>
      <c r="E137" s="188"/>
      <c r="F137" s="191"/>
      <c r="G137" s="188"/>
      <c r="H137" s="188"/>
      <c r="I137" s="97"/>
    </row>
    <row r="138" spans="1:9" ht="18.75" x14ac:dyDescent="0.3">
      <c r="A138" s="187"/>
      <c r="B138" s="187"/>
      <c r="C138" s="188"/>
      <c r="D138" s="188"/>
      <c r="E138" s="188"/>
      <c r="F138" s="191"/>
      <c r="G138" s="188"/>
      <c r="H138" s="188"/>
      <c r="I138" s="97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17" priority="1" operator="greaterThan">
      <formula>0.02</formula>
    </cfRule>
  </conditionalFormatting>
  <conditionalFormatting sqref="D51">
    <cfRule type="cellIs" dxfId="16" priority="2" operator="greaterThan">
      <formula>0.02</formula>
    </cfRule>
  </conditionalFormatting>
  <conditionalFormatting sqref="G73">
    <cfRule type="cellIs" dxfId="15" priority="3" operator="greaterThan">
      <formula>0.02</formula>
    </cfRule>
  </conditionalFormatting>
  <conditionalFormatting sqref="H73">
    <cfRule type="cellIs" dxfId="14" priority="4" operator="greaterThan">
      <formula>0.02</formula>
    </cfRule>
  </conditionalFormatting>
  <conditionalFormatting sqref="D104">
    <cfRule type="cellIs" dxfId="13" priority="5" operator="greaterThan">
      <formula>0.02</formula>
    </cfRule>
  </conditionalFormatting>
  <conditionalFormatting sqref="I39">
    <cfRule type="cellIs" dxfId="12" priority="6" operator="lessThanOrEqual">
      <formula>0.02</formula>
    </cfRule>
  </conditionalFormatting>
  <conditionalFormatting sqref="I39">
    <cfRule type="cellIs" dxfId="11" priority="7" operator="greaterThan">
      <formula>0.02</formula>
    </cfRule>
  </conditionalFormatting>
  <conditionalFormatting sqref="I92">
    <cfRule type="cellIs" dxfId="10" priority="8" operator="lessThanOrEqual">
      <formula>0.02</formula>
    </cfRule>
  </conditionalFormatting>
  <conditionalFormatting sqref="I92">
    <cfRule type="cellIs" dxfId="9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view="pageLayout" topLeftCell="B109" zoomScale="48" zoomScaleNormal="40" zoomScalePageLayoutView="48" workbookViewId="0">
      <selection activeCell="F60" sqref="F60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502" t="s">
        <v>44</v>
      </c>
      <c r="B1" s="502"/>
      <c r="C1" s="502"/>
      <c r="D1" s="502"/>
      <c r="E1" s="502"/>
      <c r="F1" s="502"/>
      <c r="G1" s="502"/>
      <c r="H1" s="502"/>
      <c r="I1" s="502"/>
    </row>
    <row r="2" spans="1:9" ht="18.75" customHeight="1" x14ac:dyDescent="0.25">
      <c r="A2" s="502"/>
      <c r="B2" s="502"/>
      <c r="C2" s="502"/>
      <c r="D2" s="502"/>
      <c r="E2" s="502"/>
      <c r="F2" s="502"/>
      <c r="G2" s="502"/>
      <c r="H2" s="502"/>
      <c r="I2" s="502"/>
    </row>
    <row r="3" spans="1:9" ht="18.75" customHeight="1" x14ac:dyDescent="0.25">
      <c r="A3" s="502"/>
      <c r="B3" s="502"/>
      <c r="C3" s="502"/>
      <c r="D3" s="502"/>
      <c r="E3" s="502"/>
      <c r="F3" s="502"/>
      <c r="G3" s="502"/>
      <c r="H3" s="502"/>
      <c r="I3" s="502"/>
    </row>
    <row r="4" spans="1:9" ht="18.75" customHeight="1" x14ac:dyDescent="0.25">
      <c r="A4" s="502"/>
      <c r="B4" s="502"/>
      <c r="C4" s="502"/>
      <c r="D4" s="502"/>
      <c r="E4" s="502"/>
      <c r="F4" s="502"/>
      <c r="G4" s="502"/>
      <c r="H4" s="502"/>
      <c r="I4" s="502"/>
    </row>
    <row r="5" spans="1:9" ht="18.75" customHeight="1" x14ac:dyDescent="0.25">
      <c r="A5" s="502"/>
      <c r="B5" s="502"/>
      <c r="C5" s="502"/>
      <c r="D5" s="502"/>
      <c r="E5" s="502"/>
      <c r="F5" s="502"/>
      <c r="G5" s="502"/>
      <c r="H5" s="502"/>
      <c r="I5" s="502"/>
    </row>
    <row r="6" spans="1:9" ht="18.75" customHeight="1" x14ac:dyDescent="0.25">
      <c r="A6" s="502"/>
      <c r="B6" s="502"/>
      <c r="C6" s="502"/>
      <c r="D6" s="502"/>
      <c r="E6" s="502"/>
      <c r="F6" s="502"/>
      <c r="G6" s="502"/>
      <c r="H6" s="502"/>
      <c r="I6" s="502"/>
    </row>
    <row r="7" spans="1:9" ht="18.75" customHeight="1" x14ac:dyDescent="0.25">
      <c r="A7" s="502"/>
      <c r="B7" s="502"/>
      <c r="C7" s="502"/>
      <c r="D7" s="502"/>
      <c r="E7" s="502"/>
      <c r="F7" s="502"/>
      <c r="G7" s="502"/>
      <c r="H7" s="502"/>
      <c r="I7" s="502"/>
    </row>
    <row r="8" spans="1:9" x14ac:dyDescent="0.25">
      <c r="A8" s="503" t="s">
        <v>45</v>
      </c>
      <c r="B8" s="503"/>
      <c r="C8" s="503"/>
      <c r="D8" s="503"/>
      <c r="E8" s="503"/>
      <c r="F8" s="503"/>
      <c r="G8" s="503"/>
      <c r="H8" s="503"/>
      <c r="I8" s="503"/>
    </row>
    <row r="9" spans="1:9" x14ac:dyDescent="0.25">
      <c r="A9" s="503"/>
      <c r="B9" s="503"/>
      <c r="C9" s="503"/>
      <c r="D9" s="503"/>
      <c r="E9" s="503"/>
      <c r="F9" s="503"/>
      <c r="G9" s="503"/>
      <c r="H9" s="503"/>
      <c r="I9" s="503"/>
    </row>
    <row r="10" spans="1:9" x14ac:dyDescent="0.25">
      <c r="A10" s="503"/>
      <c r="B10" s="503"/>
      <c r="C10" s="503"/>
      <c r="D10" s="503"/>
      <c r="E10" s="503"/>
      <c r="F10" s="503"/>
      <c r="G10" s="503"/>
      <c r="H10" s="503"/>
      <c r="I10" s="503"/>
    </row>
    <row r="11" spans="1:9" x14ac:dyDescent="0.25">
      <c r="A11" s="503"/>
      <c r="B11" s="503"/>
      <c r="C11" s="503"/>
      <c r="D11" s="503"/>
      <c r="E11" s="503"/>
      <c r="F11" s="503"/>
      <c r="G11" s="503"/>
      <c r="H11" s="503"/>
      <c r="I11" s="503"/>
    </row>
    <row r="12" spans="1:9" x14ac:dyDescent="0.25">
      <c r="A12" s="503"/>
      <c r="B12" s="503"/>
      <c r="C12" s="503"/>
      <c r="D12" s="503"/>
      <c r="E12" s="503"/>
      <c r="F12" s="503"/>
      <c r="G12" s="503"/>
      <c r="H12" s="503"/>
      <c r="I12" s="503"/>
    </row>
    <row r="13" spans="1:9" x14ac:dyDescent="0.25">
      <c r="A13" s="503"/>
      <c r="B13" s="503"/>
      <c r="C13" s="503"/>
      <c r="D13" s="503"/>
      <c r="E13" s="503"/>
      <c r="F13" s="503"/>
      <c r="G13" s="503"/>
      <c r="H13" s="503"/>
      <c r="I13" s="503"/>
    </row>
    <row r="14" spans="1:9" x14ac:dyDescent="0.25">
      <c r="A14" s="503"/>
      <c r="B14" s="503"/>
      <c r="C14" s="503"/>
      <c r="D14" s="503"/>
      <c r="E14" s="503"/>
      <c r="F14" s="503"/>
      <c r="G14" s="503"/>
      <c r="H14" s="503"/>
      <c r="I14" s="503"/>
    </row>
    <row r="15" spans="1:9" ht="19.5" customHeight="1" x14ac:dyDescent="0.3">
      <c r="A15" s="283"/>
    </row>
    <row r="16" spans="1:9" ht="19.5" customHeight="1" x14ac:dyDescent="0.3">
      <c r="A16" s="536" t="s">
        <v>30</v>
      </c>
      <c r="B16" s="537"/>
      <c r="C16" s="537"/>
      <c r="D16" s="537"/>
      <c r="E16" s="537"/>
      <c r="F16" s="537"/>
      <c r="G16" s="537"/>
      <c r="H16" s="538"/>
    </row>
    <row r="17" spans="1:14" ht="20.25" customHeight="1" x14ac:dyDescent="0.25">
      <c r="A17" s="539" t="s">
        <v>46</v>
      </c>
      <c r="B17" s="539"/>
      <c r="C17" s="539"/>
      <c r="D17" s="539"/>
      <c r="E17" s="539"/>
      <c r="F17" s="539"/>
      <c r="G17" s="539"/>
      <c r="H17" s="539"/>
    </row>
    <row r="18" spans="1:14" ht="26.25" customHeight="1" x14ac:dyDescent="0.4">
      <c r="A18" s="285" t="s">
        <v>32</v>
      </c>
      <c r="B18" s="535" t="s">
        <v>5</v>
      </c>
      <c r="C18" s="535"/>
      <c r="D18" s="431"/>
      <c r="E18" s="286"/>
      <c r="F18" s="287"/>
      <c r="G18" s="287"/>
      <c r="H18" s="287"/>
    </row>
    <row r="19" spans="1:14" ht="26.25" customHeight="1" x14ac:dyDescent="0.4">
      <c r="A19" s="285" t="s">
        <v>33</v>
      </c>
      <c r="B19" s="288" t="s">
        <v>7</v>
      </c>
      <c r="C19" s="440">
        <v>1</v>
      </c>
      <c r="D19" s="287"/>
      <c r="E19" s="287"/>
      <c r="F19" s="287"/>
      <c r="G19" s="287"/>
      <c r="H19" s="287"/>
    </row>
    <row r="20" spans="1:14" ht="26.25" customHeight="1" x14ac:dyDescent="0.4">
      <c r="A20" s="285" t="s">
        <v>34</v>
      </c>
      <c r="B20" s="540" t="s">
        <v>9</v>
      </c>
      <c r="C20" s="540"/>
      <c r="D20" s="287"/>
      <c r="E20" s="287"/>
      <c r="F20" s="287"/>
      <c r="G20" s="287"/>
      <c r="H20" s="287"/>
    </row>
    <row r="21" spans="1:14" ht="26.25" customHeight="1" x14ac:dyDescent="0.4">
      <c r="A21" s="285" t="s">
        <v>35</v>
      </c>
      <c r="B21" s="540" t="s">
        <v>11</v>
      </c>
      <c r="C21" s="540"/>
      <c r="D21" s="540"/>
      <c r="E21" s="540"/>
      <c r="F21" s="540"/>
      <c r="G21" s="540"/>
      <c r="H21" s="540"/>
      <c r="I21" s="289"/>
    </row>
    <row r="22" spans="1:14" ht="26.25" customHeight="1" x14ac:dyDescent="0.4">
      <c r="A22" s="285" t="s">
        <v>36</v>
      </c>
      <c r="B22" s="290" t="s">
        <v>12</v>
      </c>
      <c r="C22" s="287"/>
      <c r="D22" s="287"/>
      <c r="E22" s="287"/>
      <c r="F22" s="287"/>
      <c r="G22" s="287"/>
      <c r="H22" s="287"/>
    </row>
    <row r="23" spans="1:14" ht="26.25" customHeight="1" x14ac:dyDescent="0.4">
      <c r="A23" s="285" t="s">
        <v>37</v>
      </c>
      <c r="B23" s="290">
        <v>43220</v>
      </c>
      <c r="C23" s="287"/>
      <c r="D23" s="287"/>
      <c r="E23" s="287"/>
      <c r="F23" s="287"/>
      <c r="G23" s="287"/>
      <c r="H23" s="287"/>
    </row>
    <row r="24" spans="1:14" ht="18.75" x14ac:dyDescent="0.3">
      <c r="A24" s="285"/>
      <c r="B24" s="291"/>
    </row>
    <row r="25" spans="1:14" ht="18.75" x14ac:dyDescent="0.3">
      <c r="A25" s="292" t="s">
        <v>1</v>
      </c>
      <c r="B25" s="291"/>
    </row>
    <row r="26" spans="1:14" ht="26.25" customHeight="1" x14ac:dyDescent="0.4">
      <c r="A26" s="293" t="s">
        <v>4</v>
      </c>
      <c r="B26" s="534" t="s">
        <v>130</v>
      </c>
      <c r="C26" s="535"/>
    </row>
    <row r="27" spans="1:14" ht="26.25" customHeight="1" x14ac:dyDescent="0.4">
      <c r="A27" s="294" t="s">
        <v>47</v>
      </c>
      <c r="B27" s="541" t="s">
        <v>133</v>
      </c>
      <c r="C27" s="542"/>
    </row>
    <row r="28" spans="1:14" ht="27" customHeight="1" x14ac:dyDescent="0.4">
      <c r="A28" s="294" t="s">
        <v>6</v>
      </c>
      <c r="B28" s="295">
        <v>99.75</v>
      </c>
    </row>
    <row r="29" spans="1:14" s="14" customFormat="1" ht="27" customHeight="1" x14ac:dyDescent="0.4">
      <c r="A29" s="294" t="s">
        <v>48</v>
      </c>
      <c r="B29" s="296">
        <v>0</v>
      </c>
      <c r="C29" s="510" t="s">
        <v>49</v>
      </c>
      <c r="D29" s="511"/>
      <c r="E29" s="511"/>
      <c r="F29" s="511"/>
      <c r="G29" s="512"/>
      <c r="I29" s="297"/>
      <c r="J29" s="297"/>
      <c r="K29" s="297"/>
      <c r="L29" s="297"/>
    </row>
    <row r="30" spans="1:14" s="14" customFormat="1" ht="19.5" customHeight="1" x14ac:dyDescent="0.3">
      <c r="A30" s="294" t="s">
        <v>50</v>
      </c>
      <c r="B30" s="298">
        <f>B28-B29</f>
        <v>99.75</v>
      </c>
      <c r="C30" s="299"/>
      <c r="D30" s="299"/>
      <c r="E30" s="299"/>
      <c r="F30" s="299"/>
      <c r="G30" s="300"/>
      <c r="I30" s="297"/>
      <c r="J30" s="297"/>
      <c r="K30" s="297"/>
      <c r="L30" s="297"/>
    </row>
    <row r="31" spans="1:14" s="14" customFormat="1" ht="27" customHeight="1" x14ac:dyDescent="0.4">
      <c r="A31" s="294" t="s">
        <v>51</v>
      </c>
      <c r="B31" s="301">
        <v>1</v>
      </c>
      <c r="C31" s="513" t="s">
        <v>52</v>
      </c>
      <c r="D31" s="514"/>
      <c r="E31" s="514"/>
      <c r="F31" s="514"/>
      <c r="G31" s="514"/>
      <c r="H31" s="515"/>
      <c r="I31" s="297"/>
      <c r="J31" s="297"/>
      <c r="K31" s="297"/>
      <c r="L31" s="297"/>
    </row>
    <row r="32" spans="1:14" s="14" customFormat="1" ht="27" customHeight="1" x14ac:dyDescent="0.4">
      <c r="A32" s="294" t="s">
        <v>53</v>
      </c>
      <c r="B32" s="301">
        <v>1</v>
      </c>
      <c r="C32" s="513" t="s">
        <v>54</v>
      </c>
      <c r="D32" s="514"/>
      <c r="E32" s="514"/>
      <c r="F32" s="514"/>
      <c r="G32" s="514"/>
      <c r="H32" s="515"/>
      <c r="I32" s="297"/>
      <c r="J32" s="297"/>
      <c r="K32" s="297"/>
      <c r="L32" s="302"/>
      <c r="M32" s="302"/>
      <c r="N32" s="303"/>
    </row>
    <row r="33" spans="1:14" s="14" customFormat="1" ht="17.25" customHeight="1" x14ac:dyDescent="0.3">
      <c r="A33" s="294"/>
      <c r="B33" s="304"/>
      <c r="C33" s="305"/>
      <c r="D33" s="305"/>
      <c r="E33" s="305"/>
      <c r="F33" s="305"/>
      <c r="G33" s="305"/>
      <c r="H33" s="305"/>
      <c r="I33" s="297"/>
      <c r="J33" s="297"/>
      <c r="K33" s="297"/>
      <c r="L33" s="302"/>
      <c r="M33" s="302"/>
      <c r="N33" s="303"/>
    </row>
    <row r="34" spans="1:14" s="14" customFormat="1" ht="18.75" x14ac:dyDescent="0.3">
      <c r="A34" s="294" t="s">
        <v>55</v>
      </c>
      <c r="B34" s="306">
        <f>B31/B32</f>
        <v>1</v>
      </c>
      <c r="C34" s="284" t="s">
        <v>56</v>
      </c>
      <c r="D34" s="284"/>
      <c r="E34" s="284"/>
      <c r="F34" s="284"/>
      <c r="G34" s="284"/>
      <c r="I34" s="297"/>
      <c r="J34" s="297"/>
      <c r="K34" s="297"/>
      <c r="L34" s="302"/>
      <c r="M34" s="302"/>
      <c r="N34" s="303"/>
    </row>
    <row r="35" spans="1:14" s="14" customFormat="1" ht="19.5" customHeight="1" x14ac:dyDescent="0.3">
      <c r="A35" s="294"/>
      <c r="B35" s="298"/>
      <c r="G35" s="284"/>
      <c r="I35" s="297"/>
      <c r="J35" s="297"/>
      <c r="K35" s="297"/>
      <c r="L35" s="302"/>
      <c r="M35" s="302"/>
      <c r="N35" s="303"/>
    </row>
    <row r="36" spans="1:14" s="14" customFormat="1" ht="27" customHeight="1" x14ac:dyDescent="0.4">
      <c r="A36" s="307" t="s">
        <v>57</v>
      </c>
      <c r="B36" s="308">
        <v>25</v>
      </c>
      <c r="C36" s="284"/>
      <c r="D36" s="516" t="s">
        <v>58</v>
      </c>
      <c r="E36" s="543"/>
      <c r="F36" s="516" t="s">
        <v>59</v>
      </c>
      <c r="G36" s="517"/>
      <c r="J36" s="297"/>
      <c r="K36" s="297"/>
      <c r="L36" s="302"/>
      <c r="M36" s="302"/>
      <c r="N36" s="303"/>
    </row>
    <row r="37" spans="1:14" s="14" customFormat="1" ht="27" customHeight="1" x14ac:dyDescent="0.4">
      <c r="A37" s="309" t="s">
        <v>60</v>
      </c>
      <c r="B37" s="310">
        <v>4</v>
      </c>
      <c r="C37" s="311" t="s">
        <v>61</v>
      </c>
      <c r="D37" s="312" t="s">
        <v>62</v>
      </c>
      <c r="E37" s="313" t="s">
        <v>63</v>
      </c>
      <c r="F37" s="312" t="s">
        <v>62</v>
      </c>
      <c r="G37" s="314" t="s">
        <v>63</v>
      </c>
      <c r="I37" s="315" t="s">
        <v>64</v>
      </c>
      <c r="J37" s="297"/>
      <c r="K37" s="297"/>
      <c r="L37" s="302"/>
      <c r="M37" s="302"/>
      <c r="N37" s="303"/>
    </row>
    <row r="38" spans="1:14" s="14" customFormat="1" ht="26.25" customHeight="1" x14ac:dyDescent="0.4">
      <c r="A38" s="309" t="s">
        <v>65</v>
      </c>
      <c r="B38" s="310">
        <v>100</v>
      </c>
      <c r="C38" s="316">
        <v>1</v>
      </c>
      <c r="D38" s="473">
        <v>5585495</v>
      </c>
      <c r="E38" s="318">
        <f>IF(ISBLANK(D38),"-",$D$48/$D$45*D38)</f>
        <v>5535831.6701293513</v>
      </c>
      <c r="F38" s="473">
        <v>5893606</v>
      </c>
      <c r="G38" s="319">
        <f>IF(ISBLANK(F38),"-",$D$48/$F$45*F38)</f>
        <v>5600357.2913325951</v>
      </c>
      <c r="I38" s="320"/>
      <c r="J38" s="297"/>
      <c r="K38" s="297"/>
      <c r="L38" s="302"/>
      <c r="M38" s="302"/>
      <c r="N38" s="303"/>
    </row>
    <row r="39" spans="1:14" s="14" customFormat="1" ht="26.25" customHeight="1" x14ac:dyDescent="0.4">
      <c r="A39" s="309" t="s">
        <v>66</v>
      </c>
      <c r="B39" s="310">
        <v>1</v>
      </c>
      <c r="C39" s="321">
        <v>2</v>
      </c>
      <c r="D39" s="474">
        <v>5599987</v>
      </c>
      <c r="E39" s="323">
        <f>IF(ISBLANK(D39),"-",$D$48/$D$45*D39)</f>
        <v>5550194.8147680117</v>
      </c>
      <c r="F39" s="474">
        <v>5883181</v>
      </c>
      <c r="G39" s="324">
        <f>IF(ISBLANK(F39),"-",$D$48/$F$45*F39)</f>
        <v>5590451.0090391841</v>
      </c>
      <c r="I39" s="518">
        <f>ABS((F43/D43*D42)-F42)/D42</f>
        <v>1.070659765492318E-2</v>
      </c>
      <c r="J39" s="297"/>
      <c r="K39" s="297"/>
      <c r="L39" s="302"/>
      <c r="M39" s="302"/>
      <c r="N39" s="303"/>
    </row>
    <row r="40" spans="1:14" ht="26.25" customHeight="1" x14ac:dyDescent="0.4">
      <c r="A40" s="309" t="s">
        <v>67</v>
      </c>
      <c r="B40" s="310">
        <v>1</v>
      </c>
      <c r="C40" s="321">
        <v>3</v>
      </c>
      <c r="D40" s="474">
        <v>5594370</v>
      </c>
      <c r="E40" s="323">
        <f>IF(ISBLANK(D40),"-",$D$48/$D$45*D40)</f>
        <v>5544627.7582240319</v>
      </c>
      <c r="F40" s="474">
        <v>5904345</v>
      </c>
      <c r="G40" s="324">
        <f>IF(ISBLANK(F40),"-",$D$48/$F$45*F40)</f>
        <v>5610561.9498984413</v>
      </c>
      <c r="I40" s="518"/>
      <c r="L40" s="302"/>
      <c r="M40" s="302"/>
      <c r="N40" s="325"/>
    </row>
    <row r="41" spans="1:14" ht="27" customHeight="1" x14ac:dyDescent="0.4">
      <c r="A41" s="309" t="s">
        <v>68</v>
      </c>
      <c r="B41" s="310">
        <v>1</v>
      </c>
      <c r="C41" s="326">
        <v>4</v>
      </c>
      <c r="D41" s="327"/>
      <c r="E41" s="328" t="str">
        <f>IF(ISBLANK(D41),"-",$D$48/$D$45*D41)</f>
        <v>-</v>
      </c>
      <c r="F41" s="327"/>
      <c r="G41" s="329" t="str">
        <f>IF(ISBLANK(F41),"-",$D$48/$F$45*F41)</f>
        <v>-</v>
      </c>
      <c r="I41" s="330"/>
      <c r="L41" s="302"/>
      <c r="M41" s="302"/>
      <c r="N41" s="325"/>
    </row>
    <row r="42" spans="1:14" ht="27" customHeight="1" x14ac:dyDescent="0.4">
      <c r="A42" s="309" t="s">
        <v>69</v>
      </c>
      <c r="B42" s="310">
        <v>1</v>
      </c>
      <c r="C42" s="331" t="s">
        <v>70</v>
      </c>
      <c r="D42" s="332">
        <f>AVERAGE(D38:D41)</f>
        <v>5593284</v>
      </c>
      <c r="E42" s="333">
        <f>AVERAGE(E38:E41)</f>
        <v>5543551.4143737992</v>
      </c>
      <c r="F42" s="332">
        <f>AVERAGE(F38:F41)</f>
        <v>5893710.666666667</v>
      </c>
      <c r="G42" s="334">
        <f>AVERAGE(G38:G41)</f>
        <v>5600456.7500900738</v>
      </c>
      <c r="H42" s="335"/>
    </row>
    <row r="43" spans="1:14" ht="26.25" customHeight="1" x14ac:dyDescent="0.4">
      <c r="A43" s="309" t="s">
        <v>71</v>
      </c>
      <c r="B43" s="310">
        <v>1</v>
      </c>
      <c r="C43" s="336" t="s">
        <v>72</v>
      </c>
      <c r="D43" s="337">
        <v>20.23</v>
      </c>
      <c r="E43" s="325"/>
      <c r="F43" s="491">
        <v>21.1</v>
      </c>
      <c r="H43" s="335"/>
    </row>
    <row r="44" spans="1:14" ht="26.25" customHeight="1" x14ac:dyDescent="0.4">
      <c r="A44" s="309" t="s">
        <v>73</v>
      </c>
      <c r="B44" s="310">
        <v>1</v>
      </c>
      <c r="C44" s="338" t="s">
        <v>74</v>
      </c>
      <c r="D44" s="339">
        <f>D43*$B$34</f>
        <v>20.23</v>
      </c>
      <c r="E44" s="340"/>
      <c r="F44" s="339">
        <f>F43*$B$34</f>
        <v>21.1</v>
      </c>
      <c r="H44" s="335"/>
    </row>
    <row r="45" spans="1:14" ht="19.5" customHeight="1" x14ac:dyDescent="0.3">
      <c r="A45" s="309" t="s">
        <v>75</v>
      </c>
      <c r="B45" s="341">
        <f>(B44/B43)*(B42/B41)*(B40/B39)*(B38/B37)*B36</f>
        <v>625</v>
      </c>
      <c r="C45" s="338" t="s">
        <v>76</v>
      </c>
      <c r="D45" s="342">
        <f>D44*$B$30/100</f>
        <v>20.179425000000002</v>
      </c>
      <c r="E45" s="343"/>
      <c r="F45" s="342">
        <f>F44*$B$30/100</f>
        <v>21.047250000000005</v>
      </c>
      <c r="H45" s="335"/>
    </row>
    <row r="46" spans="1:14" ht="19.5" customHeight="1" x14ac:dyDescent="0.3">
      <c r="A46" s="504" t="s">
        <v>77</v>
      </c>
      <c r="B46" s="505"/>
      <c r="C46" s="338" t="s">
        <v>78</v>
      </c>
      <c r="D46" s="344">
        <f>D45/$B$45</f>
        <v>3.2287080000000003E-2</v>
      </c>
      <c r="E46" s="345"/>
      <c r="F46" s="346">
        <f>F45/$B$45</f>
        <v>3.3675600000000007E-2</v>
      </c>
      <c r="H46" s="335"/>
    </row>
    <row r="47" spans="1:14" ht="27" customHeight="1" x14ac:dyDescent="0.4">
      <c r="A47" s="506"/>
      <c r="B47" s="507"/>
      <c r="C47" s="347" t="s">
        <v>79</v>
      </c>
      <c r="D47" s="348">
        <v>3.2000000000000001E-2</v>
      </c>
      <c r="E47" s="349"/>
      <c r="F47" s="345"/>
      <c r="H47" s="335"/>
    </row>
    <row r="48" spans="1:14" ht="18.75" x14ac:dyDescent="0.3">
      <c r="C48" s="350" t="s">
        <v>80</v>
      </c>
      <c r="D48" s="342">
        <f>D47*$B$45</f>
        <v>20</v>
      </c>
      <c r="F48" s="351"/>
      <c r="H48" s="335"/>
    </row>
    <row r="49" spans="1:12" ht="19.5" customHeight="1" x14ac:dyDescent="0.3">
      <c r="C49" s="352" t="s">
        <v>81</v>
      </c>
      <c r="D49" s="353">
        <f>D48/B34</f>
        <v>20</v>
      </c>
      <c r="F49" s="351"/>
      <c r="H49" s="335"/>
    </row>
    <row r="50" spans="1:12" ht="18.75" x14ac:dyDescent="0.3">
      <c r="C50" s="307" t="s">
        <v>82</v>
      </c>
      <c r="D50" s="354">
        <f>AVERAGE(E38:E41,G38:G41)</f>
        <v>5572004.082231936</v>
      </c>
      <c r="F50" s="355"/>
      <c r="H50" s="335"/>
    </row>
    <row r="51" spans="1:12" ht="18.75" x14ac:dyDescent="0.3">
      <c r="C51" s="309" t="s">
        <v>83</v>
      </c>
      <c r="D51" s="356">
        <f>STDEV(E38:E41,G38:G41)/D50</f>
        <v>5.7678738487279583E-3</v>
      </c>
      <c r="F51" s="355"/>
      <c r="H51" s="335"/>
    </row>
    <row r="52" spans="1:12" ht="19.5" customHeight="1" x14ac:dyDescent="0.3">
      <c r="C52" s="357" t="s">
        <v>20</v>
      </c>
      <c r="D52" s="358">
        <f>COUNT(E38:E41,G38:G41)</f>
        <v>6</v>
      </c>
      <c r="F52" s="355"/>
    </row>
    <row r="54" spans="1:12" ht="18.75" x14ac:dyDescent="0.3">
      <c r="A54" s="359" t="s">
        <v>1</v>
      </c>
      <c r="B54" s="360" t="s">
        <v>84</v>
      </c>
    </row>
    <row r="55" spans="1:12" ht="18.75" x14ac:dyDescent="0.3">
      <c r="A55" s="284" t="s">
        <v>85</v>
      </c>
      <c r="B55" s="361" t="str">
        <f>B21</f>
        <v>Each tablet contain Sulphamethoxazole B.P 800 mg and Trimethoprim B.P 160 mg.</v>
      </c>
    </row>
    <row r="56" spans="1:12" ht="26.25" customHeight="1" x14ac:dyDescent="0.4">
      <c r="A56" s="362" t="s">
        <v>86</v>
      </c>
      <c r="B56" s="363">
        <v>160</v>
      </c>
      <c r="C56" s="284" t="str">
        <f>B20</f>
        <v>Sulphamethoxazole 800 mg, Trimethoprim 160 mg</v>
      </c>
      <c r="H56" s="364"/>
    </row>
    <row r="57" spans="1:12" ht="18.75" x14ac:dyDescent="0.3">
      <c r="A57" s="361" t="s">
        <v>87</v>
      </c>
      <c r="B57" s="432">
        <f>Uniformity!C46</f>
        <v>1047.019</v>
      </c>
      <c r="H57" s="364"/>
    </row>
    <row r="58" spans="1:12" ht="19.5" customHeight="1" x14ac:dyDescent="0.3">
      <c r="H58" s="364"/>
    </row>
    <row r="59" spans="1:12" s="14" customFormat="1" ht="27" customHeight="1" thickBot="1" x14ac:dyDescent="0.45">
      <c r="A59" s="307" t="s">
        <v>88</v>
      </c>
      <c r="B59" s="308">
        <v>100</v>
      </c>
      <c r="C59" s="284"/>
      <c r="D59" s="365" t="s">
        <v>89</v>
      </c>
      <c r="E59" s="366" t="s">
        <v>61</v>
      </c>
      <c r="F59" s="366" t="s">
        <v>62</v>
      </c>
      <c r="G59" s="366" t="s">
        <v>90</v>
      </c>
      <c r="H59" s="311" t="s">
        <v>91</v>
      </c>
      <c r="L59" s="297"/>
    </row>
    <row r="60" spans="1:12" s="14" customFormat="1" ht="26.25" customHeight="1" x14ac:dyDescent="0.4">
      <c r="A60" s="309" t="s">
        <v>92</v>
      </c>
      <c r="B60" s="310">
        <v>2</v>
      </c>
      <c r="C60" s="521" t="s">
        <v>93</v>
      </c>
      <c r="D60" s="524">
        <v>1049.5</v>
      </c>
      <c r="E60" s="367">
        <v>1</v>
      </c>
      <c r="F60" s="368">
        <v>5597878</v>
      </c>
      <c r="G60" s="433">
        <f>IF(ISBLANK(F60),"-",(F60/$D$50*$D$47*$B$68)*($B$57/$D$60))</f>
        <v>160.36297547521801</v>
      </c>
      <c r="H60" s="451">
        <f t="shared" ref="H60:H71" si="0">IF(ISBLANK(F60),"-",(G60/$B$56)*100)</f>
        <v>100.22685967201126</v>
      </c>
      <c r="L60" s="297"/>
    </row>
    <row r="61" spans="1:12" s="14" customFormat="1" ht="26.25" customHeight="1" x14ac:dyDescent="0.4">
      <c r="A61" s="309" t="s">
        <v>94</v>
      </c>
      <c r="B61" s="310">
        <v>100</v>
      </c>
      <c r="C61" s="522"/>
      <c r="D61" s="525"/>
      <c r="E61" s="369">
        <v>2</v>
      </c>
      <c r="F61" s="322">
        <v>5603701</v>
      </c>
      <c r="G61" s="434">
        <f>IF(ISBLANK(F61),"-",(F61/$D$50*$D$47*$B$68)*($B$57/$D$60))</f>
        <v>160.52978754332528</v>
      </c>
      <c r="H61" s="452">
        <f t="shared" si="0"/>
        <v>100.3311172145783</v>
      </c>
      <c r="L61" s="297"/>
    </row>
    <row r="62" spans="1:12" s="14" customFormat="1" ht="26.25" customHeight="1" x14ac:dyDescent="0.4">
      <c r="A62" s="309" t="s">
        <v>95</v>
      </c>
      <c r="B62" s="310">
        <v>1</v>
      </c>
      <c r="C62" s="522"/>
      <c r="D62" s="525"/>
      <c r="E62" s="369">
        <v>3</v>
      </c>
      <c r="F62" s="370">
        <v>5634337</v>
      </c>
      <c r="G62" s="434">
        <f>IF(ISBLANK(F62),"-",(F62/$D$50*$D$47*$B$68)*($B$57/$D$60))</f>
        <v>161.40742012421734</v>
      </c>
      <c r="H62" s="452">
        <f t="shared" si="0"/>
        <v>100.87963757763583</v>
      </c>
      <c r="L62" s="297"/>
    </row>
    <row r="63" spans="1:12" ht="27" customHeight="1" thickBot="1" x14ac:dyDescent="0.45">
      <c r="A63" s="309" t="s">
        <v>96</v>
      </c>
      <c r="B63" s="310">
        <v>1</v>
      </c>
      <c r="C63" s="531"/>
      <c r="D63" s="526"/>
      <c r="E63" s="371">
        <v>4</v>
      </c>
      <c r="F63" s="372"/>
      <c r="G63" s="434" t="str">
        <f>IF(ISBLANK(F63),"-",(F63/$D$50*$D$47*$B$68)*($B$57/$D$60))</f>
        <v>-</v>
      </c>
      <c r="H63" s="452" t="str">
        <f t="shared" si="0"/>
        <v>-</v>
      </c>
    </row>
    <row r="64" spans="1:12" ht="26.25" customHeight="1" x14ac:dyDescent="0.4">
      <c r="A64" s="309" t="s">
        <v>97</v>
      </c>
      <c r="B64" s="310">
        <v>1</v>
      </c>
      <c r="C64" s="521" t="s">
        <v>98</v>
      </c>
      <c r="D64" s="524">
        <v>1051.06</v>
      </c>
      <c r="E64" s="367">
        <v>1</v>
      </c>
      <c r="F64" s="368">
        <v>5676658</v>
      </c>
      <c r="G64" s="433">
        <f>IF(ISBLANK(F64),"-",(F64/$D$50*$D$47*$B$68)*($B$57/$D$64))</f>
        <v>162.37843118863793</v>
      </c>
      <c r="H64" s="451">
        <f t="shared" si="0"/>
        <v>101.48651949289871</v>
      </c>
    </row>
    <row r="65" spans="1:8" ht="26.25" customHeight="1" x14ac:dyDescent="0.4">
      <c r="A65" s="309" t="s">
        <v>99</v>
      </c>
      <c r="B65" s="310">
        <v>1</v>
      </c>
      <c r="C65" s="522"/>
      <c r="D65" s="525"/>
      <c r="E65" s="369">
        <v>2</v>
      </c>
      <c r="F65" s="322">
        <v>5665003</v>
      </c>
      <c r="G65" s="434">
        <f>IF(ISBLANK(F65),"-",(F65/$D$50*$D$47*$B$68)*($B$57/$D$64))</f>
        <v>162.04504478144139</v>
      </c>
      <c r="H65" s="452">
        <f t="shared" si="0"/>
        <v>101.27815298840086</v>
      </c>
    </row>
    <row r="66" spans="1:8" ht="26.25" customHeight="1" x14ac:dyDescent="0.4">
      <c r="A66" s="309" t="s">
        <v>100</v>
      </c>
      <c r="B66" s="310">
        <v>1</v>
      </c>
      <c r="C66" s="522"/>
      <c r="D66" s="525"/>
      <c r="E66" s="369">
        <v>3</v>
      </c>
      <c r="F66" s="322">
        <v>5642086</v>
      </c>
      <c r="G66" s="434">
        <f>IF(ISBLANK(F66),"-",(F66/$D$50*$D$47*$B$68)*($B$57/$D$64))</f>
        <v>161.38951356790869</v>
      </c>
      <c r="H66" s="452">
        <f t="shared" si="0"/>
        <v>100.86844597994293</v>
      </c>
    </row>
    <row r="67" spans="1:8" ht="27" customHeight="1" thickBot="1" x14ac:dyDescent="0.45">
      <c r="A67" s="309" t="s">
        <v>101</v>
      </c>
      <c r="B67" s="310">
        <v>1</v>
      </c>
      <c r="C67" s="531"/>
      <c r="D67" s="526"/>
      <c r="E67" s="371">
        <v>4</v>
      </c>
      <c r="F67" s="372"/>
      <c r="G67" s="450" t="str">
        <f>IF(ISBLANK(F67),"-",(F67/$D$50*$D$47*$B$68)*($B$57/$D$64))</f>
        <v>-</v>
      </c>
      <c r="H67" s="453" t="str">
        <f t="shared" si="0"/>
        <v>-</v>
      </c>
    </row>
    <row r="68" spans="1:8" ht="26.25" customHeight="1" x14ac:dyDescent="0.4">
      <c r="A68" s="309" t="s">
        <v>102</v>
      </c>
      <c r="B68" s="373">
        <f>(B67/B66)*(B65/B64)*(B63/B62)*(B61/B60)*B59</f>
        <v>5000</v>
      </c>
      <c r="C68" s="521" t="s">
        <v>103</v>
      </c>
      <c r="D68" s="524">
        <v>1049.68</v>
      </c>
      <c r="E68" s="367">
        <v>1</v>
      </c>
      <c r="F68" s="368">
        <v>5652591</v>
      </c>
      <c r="G68" s="433">
        <f>IF(ISBLANK(F68),"-",(F68/$D$50*$D$47*$B$68)*($B$57/$D$68))</f>
        <v>161.90257635247906</v>
      </c>
      <c r="H68" s="452">
        <f t="shared" si="0"/>
        <v>101.18911022029941</v>
      </c>
    </row>
    <row r="69" spans="1:8" ht="27" customHeight="1" thickBot="1" x14ac:dyDescent="0.45">
      <c r="A69" s="357" t="s">
        <v>104</v>
      </c>
      <c r="B69" s="374">
        <f>(D47*B68)/B56*B57</f>
        <v>1047.019</v>
      </c>
      <c r="C69" s="522"/>
      <c r="D69" s="525"/>
      <c r="E69" s="369">
        <v>2</v>
      </c>
      <c r="F69" s="322">
        <v>5622530</v>
      </c>
      <c r="G69" s="434">
        <f>IF(ISBLANK(F69),"-",(F69/$D$50*$D$47*$B$68)*($B$57/$D$68))</f>
        <v>161.0415635270806</v>
      </c>
      <c r="H69" s="452">
        <f t="shared" si="0"/>
        <v>100.65097720442537</v>
      </c>
    </row>
    <row r="70" spans="1:8" ht="26.25" customHeight="1" x14ac:dyDescent="0.4">
      <c r="A70" s="527" t="s">
        <v>77</v>
      </c>
      <c r="B70" s="528"/>
      <c r="C70" s="522"/>
      <c r="D70" s="525"/>
      <c r="E70" s="369">
        <v>3</v>
      </c>
      <c r="F70" s="322">
        <v>5652605</v>
      </c>
      <c r="G70" s="434">
        <f>IF(ISBLANK(F70),"-",(F70/$D$50*$D$47*$B$68)*($B$57/$D$68))</f>
        <v>161.90297734311662</v>
      </c>
      <c r="H70" s="452">
        <f t="shared" si="0"/>
        <v>101.1893608394479</v>
      </c>
    </row>
    <row r="71" spans="1:8" ht="27" customHeight="1" thickBot="1" x14ac:dyDescent="0.45">
      <c r="A71" s="529"/>
      <c r="B71" s="530"/>
      <c r="C71" s="523"/>
      <c r="D71" s="526"/>
      <c r="E71" s="371">
        <v>4</v>
      </c>
      <c r="F71" s="372"/>
      <c r="G71" s="450" t="str">
        <f>IF(ISBLANK(F71),"-",(F71/$D$50*$D$47*$B$68)*($B$57/$D$68))</f>
        <v>-</v>
      </c>
      <c r="H71" s="453" t="str">
        <f t="shared" si="0"/>
        <v>-</v>
      </c>
    </row>
    <row r="72" spans="1:8" ht="26.25" customHeight="1" x14ac:dyDescent="0.4">
      <c r="A72" s="375"/>
      <c r="B72" s="375"/>
      <c r="C72" s="375"/>
      <c r="D72" s="375"/>
      <c r="E72" s="375"/>
      <c r="F72" s="377" t="s">
        <v>70</v>
      </c>
      <c r="G72" s="439">
        <f>AVERAGE(G60:G71)</f>
        <v>161.44003221149165</v>
      </c>
      <c r="H72" s="454">
        <f>AVERAGE(H60:H71)</f>
        <v>100.90002013218228</v>
      </c>
    </row>
    <row r="73" spans="1:8" ht="26.25" customHeight="1" x14ac:dyDescent="0.4">
      <c r="C73" s="375"/>
      <c r="D73" s="375"/>
      <c r="E73" s="375"/>
      <c r="F73" s="378" t="s">
        <v>83</v>
      </c>
      <c r="G73" s="438">
        <f>STDEV(G60:G71)/G72</f>
        <v>4.2836095524415967E-3</v>
      </c>
      <c r="H73" s="438">
        <f>STDEV(H60:H71)/H72</f>
        <v>4.2836095524415993E-3</v>
      </c>
    </row>
    <row r="74" spans="1:8" ht="27" customHeight="1" x14ac:dyDescent="0.4">
      <c r="A74" s="375"/>
      <c r="B74" s="375"/>
      <c r="C74" s="376"/>
      <c r="D74" s="376"/>
      <c r="E74" s="379"/>
      <c r="F74" s="380" t="s">
        <v>20</v>
      </c>
      <c r="G74" s="381">
        <f>COUNT(G60:G71)</f>
        <v>9</v>
      </c>
      <c r="H74" s="381">
        <f>COUNT(H60:H71)</f>
        <v>9</v>
      </c>
    </row>
    <row r="76" spans="1:8" ht="26.25" customHeight="1" x14ac:dyDescent="0.4">
      <c r="A76" s="293" t="s">
        <v>105</v>
      </c>
      <c r="B76" s="382" t="s">
        <v>106</v>
      </c>
      <c r="C76" s="508" t="str">
        <f>B26</f>
        <v>TRIMETHOPRIM</v>
      </c>
      <c r="D76" s="508"/>
      <c r="E76" s="383" t="s">
        <v>107</v>
      </c>
      <c r="F76" s="383"/>
      <c r="G76" s="470">
        <f>H72</f>
        <v>100.90002013218228</v>
      </c>
      <c r="H76" s="385"/>
    </row>
    <row r="77" spans="1:8" ht="18.75" x14ac:dyDescent="0.3">
      <c r="A77" s="292" t="s">
        <v>108</v>
      </c>
      <c r="B77" s="292" t="s">
        <v>109</v>
      </c>
    </row>
    <row r="78" spans="1:8" ht="18.75" x14ac:dyDescent="0.3">
      <c r="A78" s="292"/>
      <c r="B78" s="292"/>
    </row>
    <row r="79" spans="1:8" ht="26.25" customHeight="1" x14ac:dyDescent="0.4">
      <c r="A79" s="293" t="s">
        <v>4</v>
      </c>
      <c r="B79" s="544" t="str">
        <f>B26</f>
        <v>TRIMETHOPRIM</v>
      </c>
      <c r="C79" s="544"/>
    </row>
    <row r="80" spans="1:8" ht="26.25" customHeight="1" x14ac:dyDescent="0.4">
      <c r="A80" s="294" t="s">
        <v>47</v>
      </c>
      <c r="B80" s="544" t="str">
        <f>B27</f>
        <v>T7-5</v>
      </c>
      <c r="C80" s="544"/>
    </row>
    <row r="81" spans="1:12" ht="27" customHeight="1" x14ac:dyDescent="0.4">
      <c r="A81" s="294" t="s">
        <v>6</v>
      </c>
      <c r="B81" s="386">
        <f>B28</f>
        <v>99.75</v>
      </c>
    </row>
    <row r="82" spans="1:12" s="14" customFormat="1" ht="27" customHeight="1" x14ac:dyDescent="0.4">
      <c r="A82" s="294" t="s">
        <v>48</v>
      </c>
      <c r="B82" s="296">
        <v>0</v>
      </c>
      <c r="C82" s="510" t="s">
        <v>49</v>
      </c>
      <c r="D82" s="511"/>
      <c r="E82" s="511"/>
      <c r="F82" s="511"/>
      <c r="G82" s="512"/>
      <c r="I82" s="297"/>
      <c r="J82" s="297"/>
      <c r="K82" s="297"/>
      <c r="L82" s="297"/>
    </row>
    <row r="83" spans="1:12" s="14" customFormat="1" ht="19.5" customHeight="1" x14ac:dyDescent="0.3">
      <c r="A83" s="294" t="s">
        <v>50</v>
      </c>
      <c r="B83" s="298">
        <f>B81-B82</f>
        <v>99.75</v>
      </c>
      <c r="C83" s="299"/>
      <c r="D83" s="299"/>
      <c r="E83" s="299"/>
      <c r="F83" s="299"/>
      <c r="G83" s="300"/>
      <c r="I83" s="297"/>
      <c r="J83" s="297"/>
      <c r="K83" s="297"/>
      <c r="L83" s="297"/>
    </row>
    <row r="84" spans="1:12" s="14" customFormat="1" ht="27" customHeight="1" x14ac:dyDescent="0.4">
      <c r="A84" s="294" t="s">
        <v>51</v>
      </c>
      <c r="B84" s="301">
        <v>1</v>
      </c>
      <c r="C84" s="513" t="s">
        <v>110</v>
      </c>
      <c r="D84" s="514"/>
      <c r="E84" s="514"/>
      <c r="F84" s="514"/>
      <c r="G84" s="514"/>
      <c r="H84" s="515"/>
      <c r="I84" s="297"/>
      <c r="J84" s="297"/>
      <c r="K84" s="297"/>
      <c r="L84" s="297"/>
    </row>
    <row r="85" spans="1:12" s="14" customFormat="1" ht="27" customHeight="1" x14ac:dyDescent="0.4">
      <c r="A85" s="294" t="s">
        <v>53</v>
      </c>
      <c r="B85" s="301">
        <v>1</v>
      </c>
      <c r="C85" s="513" t="s">
        <v>111</v>
      </c>
      <c r="D85" s="514"/>
      <c r="E85" s="514"/>
      <c r="F85" s="514"/>
      <c r="G85" s="514"/>
      <c r="H85" s="515"/>
      <c r="I85" s="297"/>
      <c r="J85" s="297"/>
      <c r="K85" s="297"/>
      <c r="L85" s="297"/>
    </row>
    <row r="86" spans="1:12" s="14" customFormat="1" ht="18.75" x14ac:dyDescent="0.3">
      <c r="A86" s="294"/>
      <c r="B86" s="304"/>
      <c r="C86" s="305"/>
      <c r="D86" s="305"/>
      <c r="E86" s="305"/>
      <c r="F86" s="305"/>
      <c r="G86" s="305"/>
      <c r="H86" s="305"/>
      <c r="I86" s="297"/>
      <c r="J86" s="297"/>
      <c r="K86" s="297"/>
      <c r="L86" s="297"/>
    </row>
    <row r="87" spans="1:12" s="14" customFormat="1" ht="18.75" x14ac:dyDescent="0.3">
      <c r="A87" s="294" t="s">
        <v>55</v>
      </c>
      <c r="B87" s="306">
        <f>B84/B85</f>
        <v>1</v>
      </c>
      <c r="C87" s="284" t="s">
        <v>56</v>
      </c>
      <c r="D87" s="284"/>
      <c r="E87" s="284"/>
      <c r="F87" s="284"/>
      <c r="G87" s="284"/>
      <c r="I87" s="297"/>
      <c r="J87" s="297"/>
      <c r="K87" s="297"/>
      <c r="L87" s="297"/>
    </row>
    <row r="88" spans="1:12" ht="19.5" customHeight="1" x14ac:dyDescent="0.3">
      <c r="A88" s="292"/>
      <c r="B88" s="292"/>
    </row>
    <row r="89" spans="1:12" ht="27" customHeight="1" x14ac:dyDescent="0.4">
      <c r="A89" s="307" t="s">
        <v>57</v>
      </c>
      <c r="B89" s="308">
        <v>25</v>
      </c>
      <c r="D89" s="387" t="s">
        <v>58</v>
      </c>
      <c r="E89" s="388"/>
      <c r="F89" s="516" t="s">
        <v>59</v>
      </c>
      <c r="G89" s="517"/>
    </row>
    <row r="90" spans="1:12" ht="27" customHeight="1" x14ac:dyDescent="0.4">
      <c r="A90" s="309" t="s">
        <v>60</v>
      </c>
      <c r="B90" s="310">
        <v>4</v>
      </c>
      <c r="C90" s="389" t="s">
        <v>61</v>
      </c>
      <c r="D90" s="312" t="s">
        <v>62</v>
      </c>
      <c r="E90" s="313" t="s">
        <v>63</v>
      </c>
      <c r="F90" s="312" t="s">
        <v>62</v>
      </c>
      <c r="G90" s="390" t="s">
        <v>63</v>
      </c>
      <c r="I90" s="315" t="s">
        <v>64</v>
      </c>
    </row>
    <row r="91" spans="1:12" ht="26.25" customHeight="1" x14ac:dyDescent="0.4">
      <c r="A91" s="309" t="s">
        <v>65</v>
      </c>
      <c r="B91" s="310">
        <v>100</v>
      </c>
      <c r="C91" s="391">
        <v>1</v>
      </c>
      <c r="D91" s="473">
        <v>5585495</v>
      </c>
      <c r="E91" s="318">
        <f>IF(ISBLANK(D91),"-",$D$101/$D$98*D91)</f>
        <v>6150924.0779215014</v>
      </c>
      <c r="F91" s="473">
        <v>5893606</v>
      </c>
      <c r="G91" s="319">
        <f>IF(ISBLANK(F91),"-",$D$101/$F$98*F91)</f>
        <v>6222619.212591772</v>
      </c>
      <c r="I91" s="320"/>
    </row>
    <row r="92" spans="1:12" ht="26.25" customHeight="1" x14ac:dyDescent="0.4">
      <c r="A92" s="309" t="s">
        <v>66</v>
      </c>
      <c r="B92" s="310">
        <v>1</v>
      </c>
      <c r="C92" s="376">
        <v>2</v>
      </c>
      <c r="D92" s="474">
        <v>5599987</v>
      </c>
      <c r="E92" s="323">
        <f>IF(ISBLANK(D92),"-",$D$101/$D$98*D92)</f>
        <v>6166883.1275200127</v>
      </c>
      <c r="F92" s="474">
        <v>5883181</v>
      </c>
      <c r="G92" s="324">
        <f>IF(ISBLANK(F92),"-",$D$101/$F$98*F92)</f>
        <v>6211612.2322657602</v>
      </c>
      <c r="I92" s="518">
        <f>ABS((F96/D96*D95)-F95)/D95</f>
        <v>1.070659765492318E-2</v>
      </c>
    </row>
    <row r="93" spans="1:12" ht="26.25" customHeight="1" x14ac:dyDescent="0.4">
      <c r="A93" s="309" t="s">
        <v>67</v>
      </c>
      <c r="B93" s="310">
        <v>1</v>
      </c>
      <c r="C93" s="376">
        <v>3</v>
      </c>
      <c r="D93" s="474">
        <v>5594370</v>
      </c>
      <c r="E93" s="323">
        <f>IF(ISBLANK(D93),"-",$D$101/$D$98*D93)</f>
        <v>6160697.509137813</v>
      </c>
      <c r="F93" s="474">
        <v>5904345</v>
      </c>
      <c r="G93" s="324">
        <f>IF(ISBLANK(F93),"-",$D$101/$F$98*F93)</f>
        <v>6233957.7221093792</v>
      </c>
      <c r="I93" s="518"/>
    </row>
    <row r="94" spans="1:12" ht="27" customHeight="1" x14ac:dyDescent="0.4">
      <c r="A94" s="309" t="s">
        <v>68</v>
      </c>
      <c r="B94" s="310">
        <v>1</v>
      </c>
      <c r="C94" s="392">
        <v>4</v>
      </c>
      <c r="D94" s="327"/>
      <c r="E94" s="328" t="str">
        <f>IF(ISBLANK(D94),"-",$D$101/$D$98*D94)</f>
        <v>-</v>
      </c>
      <c r="F94" s="393"/>
      <c r="G94" s="329" t="str">
        <f>IF(ISBLANK(F94),"-",$D$101/$F$98*F94)</f>
        <v>-</v>
      </c>
      <c r="I94" s="330"/>
    </row>
    <row r="95" spans="1:12" ht="27" customHeight="1" x14ac:dyDescent="0.4">
      <c r="A95" s="309" t="s">
        <v>69</v>
      </c>
      <c r="B95" s="310">
        <v>1</v>
      </c>
      <c r="C95" s="394" t="s">
        <v>70</v>
      </c>
      <c r="D95" s="395">
        <f>AVERAGE(D91:D94)</f>
        <v>5593284</v>
      </c>
      <c r="E95" s="333">
        <f>AVERAGE(E91:E94)</f>
        <v>6159501.5715264427</v>
      </c>
      <c r="F95" s="396">
        <f>AVERAGE(F91:F94)</f>
        <v>5893710.666666667</v>
      </c>
      <c r="G95" s="397">
        <f>AVERAGE(G91:G94)</f>
        <v>6222729.7223223038</v>
      </c>
    </row>
    <row r="96" spans="1:12" ht="26.25" customHeight="1" x14ac:dyDescent="0.4">
      <c r="A96" s="309" t="s">
        <v>71</v>
      </c>
      <c r="B96" s="295">
        <v>1</v>
      </c>
      <c r="C96" s="398" t="s">
        <v>112</v>
      </c>
      <c r="D96" s="399">
        <v>20.23</v>
      </c>
      <c r="E96" s="325"/>
      <c r="F96" s="337">
        <v>21.1</v>
      </c>
    </row>
    <row r="97" spans="1:10" ht="26.25" customHeight="1" x14ac:dyDescent="0.4">
      <c r="A97" s="309" t="s">
        <v>73</v>
      </c>
      <c r="B97" s="295">
        <v>1</v>
      </c>
      <c r="C97" s="400" t="s">
        <v>113</v>
      </c>
      <c r="D97" s="401">
        <f>D96*$B$87</f>
        <v>20.23</v>
      </c>
      <c r="E97" s="340"/>
      <c r="F97" s="339">
        <f>F96*$B$87</f>
        <v>21.1</v>
      </c>
    </row>
    <row r="98" spans="1:10" ht="19.5" customHeight="1" x14ac:dyDescent="0.3">
      <c r="A98" s="309" t="s">
        <v>75</v>
      </c>
      <c r="B98" s="402">
        <f>(B97/B96)*(B95/B94)*(B93/B92)*(B91/B90)*B89</f>
        <v>625</v>
      </c>
      <c r="C98" s="400" t="s">
        <v>114</v>
      </c>
      <c r="D98" s="403">
        <f>D97*$B$83/100</f>
        <v>20.179425000000002</v>
      </c>
      <c r="E98" s="343"/>
      <c r="F98" s="342">
        <f>F97*$B$83/100</f>
        <v>21.047250000000005</v>
      </c>
    </row>
    <row r="99" spans="1:10" ht="19.5" customHeight="1" x14ac:dyDescent="0.3">
      <c r="A99" s="504" t="s">
        <v>77</v>
      </c>
      <c r="B99" s="519"/>
      <c r="C99" s="400" t="s">
        <v>115</v>
      </c>
      <c r="D99" s="404">
        <f>D98/$B$98</f>
        <v>3.2287080000000003E-2</v>
      </c>
      <c r="E99" s="343"/>
      <c r="F99" s="346">
        <f>F98/$B$98</f>
        <v>3.3675600000000007E-2</v>
      </c>
      <c r="G99" s="405"/>
      <c r="H99" s="335"/>
    </row>
    <row r="100" spans="1:10" ht="19.5" customHeight="1" x14ac:dyDescent="0.3">
      <c r="A100" s="506"/>
      <c r="B100" s="520"/>
      <c r="C100" s="400" t="s">
        <v>79</v>
      </c>
      <c r="D100" s="406">
        <f>$B$56/$B$116</f>
        <v>3.5555555555555556E-2</v>
      </c>
      <c r="F100" s="351"/>
      <c r="G100" s="407"/>
      <c r="H100" s="335"/>
    </row>
    <row r="101" spans="1:10" ht="18.75" x14ac:dyDescent="0.3">
      <c r="C101" s="400" t="s">
        <v>80</v>
      </c>
      <c r="D101" s="401">
        <f>D100*$B$98</f>
        <v>22.222222222222221</v>
      </c>
      <c r="F101" s="351"/>
      <c r="G101" s="405"/>
      <c r="H101" s="335"/>
    </row>
    <row r="102" spans="1:10" ht="19.5" customHeight="1" x14ac:dyDescent="0.3">
      <c r="C102" s="408" t="s">
        <v>81</v>
      </c>
      <c r="D102" s="409">
        <f>D101/B34</f>
        <v>22.222222222222221</v>
      </c>
      <c r="F102" s="355"/>
      <c r="G102" s="405"/>
      <c r="H102" s="335"/>
      <c r="J102" s="410"/>
    </row>
    <row r="103" spans="1:10" ht="18.75" x14ac:dyDescent="0.3">
      <c r="C103" s="411" t="s">
        <v>116</v>
      </c>
      <c r="D103" s="412">
        <f>AVERAGE(E91:E94,G91:G94)</f>
        <v>6191115.6469243728</v>
      </c>
      <c r="F103" s="355"/>
      <c r="G103" s="413"/>
      <c r="H103" s="335"/>
      <c r="J103" s="414"/>
    </row>
    <row r="104" spans="1:10" ht="18.75" x14ac:dyDescent="0.3">
      <c r="C104" s="378" t="s">
        <v>83</v>
      </c>
      <c r="D104" s="415">
        <f>STDEV(E91:E94,G91:G94)/D103</f>
        <v>5.7678738487279687E-3</v>
      </c>
      <c r="F104" s="355"/>
      <c r="G104" s="405"/>
      <c r="H104" s="335"/>
      <c r="J104" s="414"/>
    </row>
    <row r="105" spans="1:10" ht="19.5" customHeight="1" x14ac:dyDescent="0.3">
      <c r="C105" s="380" t="s">
        <v>20</v>
      </c>
      <c r="D105" s="416">
        <f>COUNT(E91:E94,G91:G94)</f>
        <v>6</v>
      </c>
      <c r="F105" s="355"/>
      <c r="G105" s="405"/>
      <c r="H105" s="335"/>
      <c r="J105" s="414"/>
    </row>
    <row r="106" spans="1:10" ht="19.5" customHeight="1" x14ac:dyDescent="0.3">
      <c r="A106" s="359"/>
      <c r="B106" s="359"/>
      <c r="C106" s="359"/>
      <c r="D106" s="359"/>
      <c r="E106" s="359"/>
    </row>
    <row r="107" spans="1:10" ht="27" customHeight="1" x14ac:dyDescent="0.4">
      <c r="A107" s="307" t="s">
        <v>117</v>
      </c>
      <c r="B107" s="308">
        <v>900</v>
      </c>
      <c r="C107" s="455" t="s">
        <v>118</v>
      </c>
      <c r="D107" s="455" t="s">
        <v>62</v>
      </c>
      <c r="E107" s="455" t="s">
        <v>119</v>
      </c>
      <c r="F107" s="417" t="s">
        <v>120</v>
      </c>
    </row>
    <row r="108" spans="1:10" ht="26.25" customHeight="1" x14ac:dyDescent="0.4">
      <c r="A108" s="309" t="s">
        <v>121</v>
      </c>
      <c r="B108" s="310">
        <v>10</v>
      </c>
      <c r="C108" s="460">
        <v>1</v>
      </c>
      <c r="D108" s="461">
        <v>6726911</v>
      </c>
      <c r="E108" s="435">
        <f t="shared" ref="E108:E113" si="1">IF(ISBLANK(D108),"-",D108/$D$103*$D$100*$B$116)</f>
        <v>173.84681879342506</v>
      </c>
      <c r="F108" s="462">
        <f t="shared" ref="F108:F113" si="2">IF(ISBLANK(D108), "-", (E108/$B$56)*100)</f>
        <v>108.65426174589065</v>
      </c>
    </row>
    <row r="109" spans="1:10" ht="26.25" customHeight="1" x14ac:dyDescent="0.4">
      <c r="A109" s="309" t="s">
        <v>94</v>
      </c>
      <c r="B109" s="310">
        <v>50</v>
      </c>
      <c r="C109" s="456">
        <v>2</v>
      </c>
      <c r="D109" s="458">
        <v>6183215</v>
      </c>
      <c r="E109" s="436">
        <f t="shared" si="1"/>
        <v>159.79581975527663</v>
      </c>
      <c r="F109" s="463">
        <f t="shared" si="2"/>
        <v>99.872387347047891</v>
      </c>
    </row>
    <row r="110" spans="1:10" ht="26.25" customHeight="1" x14ac:dyDescent="0.4">
      <c r="A110" s="309" t="s">
        <v>95</v>
      </c>
      <c r="B110" s="310">
        <v>1</v>
      </c>
      <c r="C110" s="456">
        <v>3</v>
      </c>
      <c r="D110" s="458">
        <v>6352915</v>
      </c>
      <c r="E110" s="436">
        <f t="shared" si="1"/>
        <v>164.18145904041722</v>
      </c>
      <c r="F110" s="463">
        <f t="shared" si="2"/>
        <v>102.61341190026076</v>
      </c>
    </row>
    <row r="111" spans="1:10" ht="26.25" customHeight="1" x14ac:dyDescent="0.4">
      <c r="A111" s="309" t="s">
        <v>96</v>
      </c>
      <c r="B111" s="310">
        <v>1</v>
      </c>
      <c r="C111" s="456">
        <v>4</v>
      </c>
      <c r="D111" s="458">
        <v>6257467</v>
      </c>
      <c r="E111" s="436">
        <f t="shared" si="1"/>
        <v>161.71475015127106</v>
      </c>
      <c r="F111" s="463">
        <f t="shared" si="2"/>
        <v>101.07171884454442</v>
      </c>
    </row>
    <row r="112" spans="1:10" ht="26.25" customHeight="1" x14ac:dyDescent="0.4">
      <c r="A112" s="309" t="s">
        <v>97</v>
      </c>
      <c r="B112" s="310">
        <v>1</v>
      </c>
      <c r="C112" s="456">
        <v>5</v>
      </c>
      <c r="D112" s="458">
        <v>6239581</v>
      </c>
      <c r="E112" s="436">
        <f t="shared" si="1"/>
        <v>161.25251359114131</v>
      </c>
      <c r="F112" s="463">
        <f t="shared" si="2"/>
        <v>100.78282099446332</v>
      </c>
    </row>
    <row r="113" spans="1:10" ht="27" customHeight="1" x14ac:dyDescent="0.4">
      <c r="A113" s="309" t="s">
        <v>99</v>
      </c>
      <c r="B113" s="310">
        <v>1</v>
      </c>
      <c r="C113" s="457">
        <v>6</v>
      </c>
      <c r="D113" s="459">
        <v>6180506</v>
      </c>
      <c r="E113" s="437">
        <f t="shared" si="1"/>
        <v>159.72580975631701</v>
      </c>
      <c r="F113" s="464">
        <f t="shared" si="2"/>
        <v>99.828631097698121</v>
      </c>
    </row>
    <row r="114" spans="1:10" ht="27" customHeight="1" x14ac:dyDescent="0.4">
      <c r="A114" s="309" t="s">
        <v>100</v>
      </c>
      <c r="B114" s="310">
        <v>1</v>
      </c>
      <c r="C114" s="418"/>
      <c r="D114" s="376"/>
      <c r="E114" s="283"/>
      <c r="F114" s="465"/>
    </row>
    <row r="115" spans="1:10" ht="26.25" customHeight="1" x14ac:dyDescent="0.4">
      <c r="A115" s="309" t="s">
        <v>101</v>
      </c>
      <c r="B115" s="310">
        <v>1</v>
      </c>
      <c r="C115" s="418"/>
      <c r="D115" s="442" t="s">
        <v>70</v>
      </c>
      <c r="E115" s="444">
        <f>AVERAGE(E108:E113)</f>
        <v>163.41952851464137</v>
      </c>
      <c r="F115" s="466">
        <f>AVERAGE(F108:F113)</f>
        <v>102.13720532165087</v>
      </c>
    </row>
    <row r="116" spans="1:10" ht="27" customHeight="1" x14ac:dyDescent="0.4">
      <c r="A116" s="309" t="s">
        <v>102</v>
      </c>
      <c r="B116" s="341">
        <f>(B115/B114)*(B113/B112)*(B111/B110)*(B109/B108)*B107</f>
        <v>4500</v>
      </c>
      <c r="C116" s="419"/>
      <c r="D116" s="443" t="s">
        <v>83</v>
      </c>
      <c r="E116" s="441">
        <f>STDEV(E108:E113)/E115</f>
        <v>3.2803351856240684E-2</v>
      </c>
      <c r="F116" s="420">
        <f>STDEV(F108:F113)/F115</f>
        <v>3.2803351856240642E-2</v>
      </c>
      <c r="I116" s="283"/>
    </row>
    <row r="117" spans="1:10" ht="27" customHeight="1" x14ac:dyDescent="0.4">
      <c r="A117" s="504" t="s">
        <v>77</v>
      </c>
      <c r="B117" s="505"/>
      <c r="C117" s="421"/>
      <c r="D117" s="380" t="s">
        <v>20</v>
      </c>
      <c r="E117" s="446">
        <f>COUNT(E108:E113)</f>
        <v>6</v>
      </c>
      <c r="F117" s="447">
        <f>COUNT(F108:F113)</f>
        <v>6</v>
      </c>
      <c r="I117" s="283"/>
      <c r="J117" s="414"/>
    </row>
    <row r="118" spans="1:10" ht="26.25" customHeight="1" x14ac:dyDescent="0.3">
      <c r="A118" s="506"/>
      <c r="B118" s="507"/>
      <c r="C118" s="283"/>
      <c r="D118" s="445"/>
      <c r="E118" s="532" t="s">
        <v>122</v>
      </c>
      <c r="F118" s="533"/>
      <c r="G118" s="283"/>
      <c r="H118" s="283"/>
      <c r="I118" s="283"/>
    </row>
    <row r="119" spans="1:10" ht="25.5" customHeight="1" x14ac:dyDescent="0.4">
      <c r="A119" s="430"/>
      <c r="B119" s="305"/>
      <c r="C119" s="283"/>
      <c r="D119" s="443" t="s">
        <v>123</v>
      </c>
      <c r="E119" s="448">
        <f>MIN(E108:E113)</f>
        <v>159.72580975631701</v>
      </c>
      <c r="F119" s="467">
        <f>MIN(F108:F113)</f>
        <v>99.828631097698121</v>
      </c>
      <c r="G119" s="283"/>
      <c r="H119" s="283"/>
      <c r="I119" s="283"/>
    </row>
    <row r="120" spans="1:10" ht="24" customHeight="1" x14ac:dyDescent="0.4">
      <c r="A120" s="430"/>
      <c r="B120" s="305"/>
      <c r="C120" s="283"/>
      <c r="D120" s="352" t="s">
        <v>124</v>
      </c>
      <c r="E120" s="449">
        <f>MAX(E108:E113)</f>
        <v>173.84681879342506</v>
      </c>
      <c r="F120" s="468">
        <f>MAX(F108:F113)</f>
        <v>108.65426174589065</v>
      </c>
      <c r="G120" s="283"/>
      <c r="H120" s="283"/>
      <c r="I120" s="283"/>
    </row>
    <row r="121" spans="1:10" ht="27" customHeight="1" x14ac:dyDescent="0.3">
      <c r="A121" s="430"/>
      <c r="B121" s="305"/>
      <c r="C121" s="283"/>
      <c r="D121" s="283"/>
      <c r="E121" s="283"/>
      <c r="F121" s="376"/>
      <c r="G121" s="283"/>
      <c r="H121" s="283"/>
      <c r="I121" s="283"/>
    </row>
    <row r="122" spans="1:10" ht="25.5" customHeight="1" x14ac:dyDescent="0.3">
      <c r="A122" s="430"/>
      <c r="B122" s="305"/>
      <c r="C122" s="283"/>
      <c r="D122" s="283"/>
      <c r="E122" s="283"/>
      <c r="F122" s="376"/>
      <c r="G122" s="283"/>
      <c r="H122" s="283"/>
      <c r="I122" s="283"/>
    </row>
    <row r="123" spans="1:10" ht="18.75" x14ac:dyDescent="0.3">
      <c r="A123" s="430"/>
      <c r="B123" s="305"/>
      <c r="C123" s="283"/>
      <c r="D123" s="283"/>
      <c r="E123" s="283"/>
      <c r="F123" s="376"/>
      <c r="G123" s="283"/>
      <c r="H123" s="283"/>
      <c r="I123" s="283"/>
    </row>
    <row r="124" spans="1:10" ht="45.75" customHeight="1" x14ac:dyDescent="0.65">
      <c r="A124" s="293" t="s">
        <v>105</v>
      </c>
      <c r="B124" s="382" t="s">
        <v>125</v>
      </c>
      <c r="C124" s="508" t="str">
        <f>B26</f>
        <v>TRIMETHOPRIM</v>
      </c>
      <c r="D124" s="508"/>
      <c r="E124" s="383" t="s">
        <v>126</v>
      </c>
      <c r="F124" s="383"/>
      <c r="G124" s="469">
        <f>F115</f>
        <v>102.13720532165087</v>
      </c>
      <c r="H124" s="283"/>
      <c r="I124" s="283"/>
    </row>
    <row r="125" spans="1:10" ht="45.75" customHeight="1" x14ac:dyDescent="0.65">
      <c r="A125" s="293"/>
      <c r="B125" s="382" t="s">
        <v>127</v>
      </c>
      <c r="C125" s="294" t="s">
        <v>128</v>
      </c>
      <c r="D125" s="469">
        <f>MIN(F108:F113)</f>
        <v>99.828631097698121</v>
      </c>
      <c r="E125" s="394" t="s">
        <v>129</v>
      </c>
      <c r="F125" s="469">
        <f>MAX(F108:F113)</f>
        <v>108.65426174589065</v>
      </c>
      <c r="G125" s="384"/>
      <c r="H125" s="283"/>
      <c r="I125" s="283"/>
    </row>
    <row r="126" spans="1:10" ht="19.5" customHeight="1" x14ac:dyDescent="0.3">
      <c r="A126" s="422"/>
      <c r="B126" s="422"/>
      <c r="C126" s="423"/>
      <c r="D126" s="423"/>
      <c r="E126" s="423"/>
      <c r="F126" s="423"/>
      <c r="G126" s="423"/>
      <c r="H126" s="423"/>
    </row>
    <row r="127" spans="1:10" ht="18.75" x14ac:dyDescent="0.3">
      <c r="B127" s="509" t="s">
        <v>25</v>
      </c>
      <c r="C127" s="509"/>
      <c r="E127" s="389" t="s">
        <v>26</v>
      </c>
      <c r="F127" s="424"/>
      <c r="G127" s="509" t="s">
        <v>27</v>
      </c>
      <c r="H127" s="509"/>
    </row>
    <row r="128" spans="1:10" ht="69.95" customHeight="1" x14ac:dyDescent="0.3">
      <c r="A128" s="425" t="s">
        <v>28</v>
      </c>
      <c r="B128" s="426"/>
      <c r="C128" s="426"/>
      <c r="E128" s="426"/>
      <c r="F128" s="283"/>
      <c r="G128" s="427"/>
      <c r="H128" s="427"/>
    </row>
    <row r="129" spans="1:9" ht="69.95" customHeight="1" x14ac:dyDescent="0.3">
      <c r="A129" s="425" t="s">
        <v>29</v>
      </c>
      <c r="B129" s="428"/>
      <c r="C129" s="428"/>
      <c r="E129" s="428"/>
      <c r="F129" s="283"/>
      <c r="G129" s="429"/>
      <c r="H129" s="429"/>
    </row>
    <row r="130" spans="1:9" ht="18.75" x14ac:dyDescent="0.3">
      <c r="A130" s="375"/>
      <c r="B130" s="375"/>
      <c r="C130" s="376"/>
      <c r="D130" s="376"/>
      <c r="E130" s="376"/>
      <c r="F130" s="379"/>
      <c r="G130" s="376"/>
      <c r="H130" s="376"/>
      <c r="I130" s="283"/>
    </row>
    <row r="131" spans="1:9" ht="18.75" x14ac:dyDescent="0.3">
      <c r="A131" s="375"/>
      <c r="B131" s="375"/>
      <c r="C131" s="376"/>
      <c r="D131" s="376"/>
      <c r="E131" s="376"/>
      <c r="F131" s="379"/>
      <c r="G131" s="376"/>
      <c r="H131" s="376"/>
      <c r="I131" s="283"/>
    </row>
    <row r="132" spans="1:9" ht="18.75" x14ac:dyDescent="0.3">
      <c r="A132" s="375"/>
      <c r="B132" s="375"/>
      <c r="C132" s="376"/>
      <c r="D132" s="376"/>
      <c r="E132" s="376"/>
      <c r="F132" s="379"/>
      <c r="G132" s="376"/>
      <c r="H132" s="376"/>
      <c r="I132" s="283"/>
    </row>
    <row r="133" spans="1:9" ht="18.75" x14ac:dyDescent="0.3">
      <c r="A133" s="375"/>
      <c r="B133" s="375"/>
      <c r="C133" s="376"/>
      <c r="D133" s="376"/>
      <c r="E133" s="376"/>
      <c r="F133" s="379"/>
      <c r="G133" s="376"/>
      <c r="H133" s="376"/>
      <c r="I133" s="283"/>
    </row>
    <row r="134" spans="1:9" ht="18.75" x14ac:dyDescent="0.3">
      <c r="A134" s="375"/>
      <c r="B134" s="375"/>
      <c r="C134" s="376"/>
      <c r="D134" s="376"/>
      <c r="E134" s="376"/>
      <c r="F134" s="379"/>
      <c r="G134" s="376"/>
      <c r="H134" s="376"/>
      <c r="I134" s="283"/>
    </row>
    <row r="135" spans="1:9" ht="18.75" x14ac:dyDescent="0.3">
      <c r="A135" s="375"/>
      <c r="B135" s="375"/>
      <c r="C135" s="376"/>
      <c r="D135" s="376"/>
      <c r="E135" s="376"/>
      <c r="F135" s="379"/>
      <c r="G135" s="376"/>
      <c r="H135" s="376"/>
      <c r="I135" s="283"/>
    </row>
    <row r="136" spans="1:9" ht="18.75" x14ac:dyDescent="0.3">
      <c r="A136" s="375"/>
      <c r="B136" s="375"/>
      <c r="C136" s="376"/>
      <c r="D136" s="376"/>
      <c r="E136" s="376"/>
      <c r="F136" s="379"/>
      <c r="G136" s="376"/>
      <c r="H136" s="376"/>
      <c r="I136" s="283"/>
    </row>
    <row r="137" spans="1:9" ht="18.75" x14ac:dyDescent="0.3">
      <c r="A137" s="375"/>
      <c r="B137" s="375"/>
      <c r="C137" s="376"/>
      <c r="D137" s="376"/>
      <c r="E137" s="376"/>
      <c r="F137" s="379"/>
      <c r="G137" s="376"/>
      <c r="H137" s="376"/>
      <c r="I137" s="283"/>
    </row>
    <row r="138" spans="1:9" ht="18.75" x14ac:dyDescent="0.3">
      <c r="A138" s="375"/>
      <c r="B138" s="375"/>
      <c r="C138" s="376"/>
      <c r="D138" s="376"/>
      <c r="E138" s="376"/>
      <c r="F138" s="379"/>
      <c r="G138" s="376"/>
      <c r="H138" s="376"/>
      <c r="I138" s="283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SST SULFAMETHOXAZOLE</vt:lpstr>
      <vt:lpstr>SST TRIMETHOPRIM</vt:lpstr>
      <vt:lpstr>Uniformity</vt:lpstr>
      <vt:lpstr>SULFAMETHOXAZOLE</vt:lpstr>
      <vt:lpstr>TRIMETHOPRIM</vt:lpstr>
      <vt:lpstr>Uniformity!Print_Area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Paul Njaria</cp:lastModifiedBy>
  <cp:lastPrinted>2018-05-02T15:28:42Z</cp:lastPrinted>
  <dcterms:created xsi:type="dcterms:W3CDTF">2005-07-05T10:19:27Z</dcterms:created>
  <dcterms:modified xsi:type="dcterms:W3CDTF">2018-05-08T13:18:40Z</dcterms:modified>
</cp:coreProperties>
</file>