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ul Njaria\Documents\Wet Chemistry\LIMS Worksheets\"/>
    </mc:Choice>
  </mc:AlternateContent>
  <bookViews>
    <workbookView xWindow="0" yWindow="0" windowWidth="16815" windowHeight="7650" firstSheet="1" activeTab="4"/>
  </bookViews>
  <sheets>
    <sheet name="SST SULFATHOXAZOLE" sheetId="5" r:id="rId1"/>
    <sheet name="SST TRIMETHOPRIM" sheetId="1" r:id="rId2"/>
    <sheet name="Uniformity" sheetId="2" r:id="rId3"/>
    <sheet name="SULFAMETHOXAZOLE" sheetId="3" r:id="rId4"/>
    <sheet name="TRIMETHOPRIM" sheetId="4" r:id="rId5"/>
  </sheets>
  <definedNames>
    <definedName name="_xlnm.Print_Area" localSheetId="2">Uniformity!$A$1:$F$54</definedName>
  </definedNames>
  <calcPr calcId="162913"/>
</workbook>
</file>

<file path=xl/calcChain.xml><?xml version="1.0" encoding="utf-8"?>
<calcChain xmlns="http://schemas.openxmlformats.org/spreadsheetml/2006/main">
  <c r="B42" i="5" l="1"/>
  <c r="B42" i="1" l="1"/>
  <c r="F30" i="5" l="1"/>
  <c r="F51" i="5"/>
  <c r="B53" i="5" l="1"/>
  <c r="E51" i="5"/>
  <c r="D51" i="5"/>
  <c r="C51" i="5"/>
  <c r="B51" i="5"/>
  <c r="B52" i="5" s="1"/>
  <c r="B32" i="5"/>
  <c r="E30" i="5"/>
  <c r="D30" i="5"/>
  <c r="C30" i="5"/>
  <c r="B30" i="5"/>
  <c r="B31" i="5" s="1"/>
  <c r="C124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F44" i="4" s="1"/>
  <c r="B30" i="4"/>
  <c r="C124" i="3"/>
  <c r="B116" i="3"/>
  <c r="D100" i="3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6" i="2"/>
  <c r="D34" i="2" s="1"/>
  <c r="C45" i="2"/>
  <c r="D29" i="2"/>
  <c r="D24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I39" i="3" l="1"/>
  <c r="I92" i="4"/>
  <c r="D101" i="4"/>
  <c r="F45" i="4"/>
  <c r="F46" i="4" s="1"/>
  <c r="F98" i="4"/>
  <c r="F99" i="4" s="1"/>
  <c r="I39" i="4"/>
  <c r="I92" i="3"/>
  <c r="D101" i="3"/>
  <c r="G93" i="3" s="1"/>
  <c r="D97" i="3"/>
  <c r="D98" i="3" s="1"/>
  <c r="D99" i="3" s="1"/>
  <c r="D45" i="3"/>
  <c r="D46" i="3" s="1"/>
  <c r="F98" i="3"/>
  <c r="F99" i="3" s="1"/>
  <c r="E39" i="3"/>
  <c r="D49" i="3"/>
  <c r="E40" i="3"/>
  <c r="E38" i="3"/>
  <c r="E41" i="3"/>
  <c r="C49" i="2"/>
  <c r="D43" i="2"/>
  <c r="D39" i="2"/>
  <c r="D35" i="2"/>
  <c r="D31" i="2"/>
  <c r="D27" i="2"/>
  <c r="B57" i="4"/>
  <c r="B69" i="4" s="1"/>
  <c r="D50" i="2"/>
  <c r="B57" i="3"/>
  <c r="B69" i="3" s="1"/>
  <c r="D102" i="4"/>
  <c r="G91" i="4"/>
  <c r="D25" i="2"/>
  <c r="D30" i="2"/>
  <c r="D36" i="2"/>
  <c r="D41" i="2"/>
  <c r="B49" i="2"/>
  <c r="D26" i="2"/>
  <c r="D32" i="2"/>
  <c r="D37" i="2"/>
  <c r="D42" i="2"/>
  <c r="D49" i="2"/>
  <c r="F44" i="3"/>
  <c r="F45" i="3" s="1"/>
  <c r="F46" i="3" s="1"/>
  <c r="G40" i="4"/>
  <c r="D49" i="4"/>
  <c r="G38" i="4"/>
  <c r="G41" i="4"/>
  <c r="E41" i="4"/>
  <c r="D28" i="2"/>
  <c r="D33" i="2"/>
  <c r="D38" i="2"/>
  <c r="C50" i="2"/>
  <c r="G94" i="3"/>
  <c r="D40" i="2"/>
  <c r="G92" i="3"/>
  <c r="D97" i="4"/>
  <c r="D98" i="4" s="1"/>
  <c r="D99" i="4" s="1"/>
  <c r="D44" i="4"/>
  <c r="D45" i="4" s="1"/>
  <c r="D46" i="4" s="1"/>
  <c r="G39" i="4" l="1"/>
  <c r="E40" i="4"/>
  <c r="G91" i="3"/>
  <c r="G92" i="4"/>
  <c r="E92" i="4"/>
  <c r="E91" i="4"/>
  <c r="E94" i="4"/>
  <c r="G93" i="4"/>
  <c r="G94" i="4"/>
  <c r="G42" i="4"/>
  <c r="D102" i="3"/>
  <c r="E92" i="3"/>
  <c r="E94" i="3"/>
  <c r="E91" i="3"/>
  <c r="G95" i="3"/>
  <c r="E93" i="3"/>
  <c r="G41" i="3"/>
  <c r="G38" i="3"/>
  <c r="E38" i="4"/>
  <c r="E42" i="3"/>
  <c r="E39" i="4"/>
  <c r="G40" i="3"/>
  <c r="E93" i="4"/>
  <c r="G39" i="3"/>
  <c r="E95" i="4" l="1"/>
  <c r="G95" i="4"/>
  <c r="D103" i="4"/>
  <c r="E111" i="4" s="1"/>
  <c r="F111" i="4" s="1"/>
  <c r="D105" i="4"/>
  <c r="D105" i="3"/>
  <c r="E95" i="3"/>
  <c r="D50" i="3"/>
  <c r="G71" i="3" s="1"/>
  <c r="H71" i="3" s="1"/>
  <c r="D103" i="3"/>
  <c r="E111" i="3" s="1"/>
  <c r="F111" i="3" s="1"/>
  <c r="D52" i="3"/>
  <c r="G42" i="3"/>
  <c r="E113" i="4"/>
  <c r="F113" i="4" s="1"/>
  <c r="D50" i="4"/>
  <c r="E42" i="4"/>
  <c r="D52" i="4"/>
  <c r="G60" i="3" l="1"/>
  <c r="H60" i="3" s="1"/>
  <c r="D104" i="3"/>
  <c r="E112" i="4"/>
  <c r="F112" i="4" s="1"/>
  <c r="D104" i="4"/>
  <c r="E108" i="4"/>
  <c r="F108" i="4" s="1"/>
  <c r="E109" i="4"/>
  <c r="F109" i="4" s="1"/>
  <c r="E110" i="4"/>
  <c r="F110" i="4" s="1"/>
  <c r="E109" i="3"/>
  <c r="F109" i="3" s="1"/>
  <c r="E108" i="3"/>
  <c r="E113" i="3"/>
  <c r="F113" i="3" s="1"/>
  <c r="E112" i="3"/>
  <c r="F112" i="3" s="1"/>
  <c r="G66" i="3"/>
  <c r="H66" i="3" s="1"/>
  <c r="G61" i="3"/>
  <c r="H61" i="3" s="1"/>
  <c r="G65" i="3"/>
  <c r="H65" i="3" s="1"/>
  <c r="G64" i="3"/>
  <c r="H64" i="3" s="1"/>
  <c r="G67" i="3"/>
  <c r="H67" i="3" s="1"/>
  <c r="G69" i="3"/>
  <c r="H69" i="3" s="1"/>
  <c r="D51" i="3"/>
  <c r="G70" i="3"/>
  <c r="H70" i="3" s="1"/>
  <c r="G62" i="3"/>
  <c r="H62" i="3" s="1"/>
  <c r="G68" i="3"/>
  <c r="H68" i="3" s="1"/>
  <c r="G63" i="3"/>
  <c r="H63" i="3" s="1"/>
  <c r="E110" i="3"/>
  <c r="F110" i="3" s="1"/>
  <c r="G70" i="4"/>
  <c r="H70" i="4" s="1"/>
  <c r="G67" i="4"/>
  <c r="H67" i="4" s="1"/>
  <c r="G65" i="4"/>
  <c r="H65" i="4" s="1"/>
  <c r="G63" i="4"/>
  <c r="H63" i="4" s="1"/>
  <c r="G61" i="4"/>
  <c r="H61" i="4" s="1"/>
  <c r="G68" i="4"/>
  <c r="H68" i="4" s="1"/>
  <c r="G71" i="4"/>
  <c r="H71" i="4" s="1"/>
  <c r="G69" i="4"/>
  <c r="H69" i="4" s="1"/>
  <c r="G66" i="4"/>
  <c r="H66" i="4" s="1"/>
  <c r="G64" i="4"/>
  <c r="H64" i="4" s="1"/>
  <c r="G62" i="4"/>
  <c r="H62" i="4" s="1"/>
  <c r="G60" i="4"/>
  <c r="D51" i="4"/>
  <c r="E115" i="4" l="1"/>
  <c r="E116" i="4" s="1"/>
  <c r="E117" i="4"/>
  <c r="E119" i="4"/>
  <c r="E120" i="4"/>
  <c r="E119" i="3"/>
  <c r="F108" i="3"/>
  <c r="F117" i="3" s="1"/>
  <c r="E117" i="3"/>
  <c r="E120" i="3"/>
  <c r="E115" i="3"/>
  <c r="E116" i="3" s="1"/>
  <c r="G72" i="3"/>
  <c r="G73" i="3" s="1"/>
  <c r="G74" i="3"/>
  <c r="G74" i="4"/>
  <c r="G72" i="4"/>
  <c r="G73" i="4" s="1"/>
  <c r="H60" i="4"/>
  <c r="H74" i="3"/>
  <c r="H72" i="3"/>
  <c r="F125" i="4"/>
  <c r="F120" i="4"/>
  <c r="F117" i="4"/>
  <c r="D125" i="4"/>
  <c r="F115" i="4"/>
  <c r="F119" i="4"/>
  <c r="F119" i="3" l="1"/>
  <c r="F120" i="3"/>
  <c r="F115" i="3"/>
  <c r="G124" i="3" s="1"/>
  <c r="F125" i="3"/>
  <c r="D125" i="3"/>
  <c r="H74" i="4"/>
  <c r="H72" i="4"/>
  <c r="G124" i="4"/>
  <c r="F116" i="4"/>
  <c r="G76" i="3"/>
  <c r="H73" i="3"/>
  <c r="F116" i="3" l="1"/>
  <c r="G76" i="4"/>
  <c r="H73" i="4"/>
</calcChain>
</file>

<file path=xl/sharedStrings.xml><?xml version="1.0" encoding="utf-8"?>
<sst xmlns="http://schemas.openxmlformats.org/spreadsheetml/2006/main" count="458" uniqueCount="137">
  <si>
    <t>HPLC System Suitability Report</t>
  </si>
  <si>
    <t>Analysis Data</t>
  </si>
  <si>
    <t>Assay</t>
  </si>
  <si>
    <t>Sample(s)</t>
  </si>
  <si>
    <t>Reference Substance:</t>
  </si>
  <si>
    <t>SULFRAN-DS TABLETS</t>
  </si>
  <si>
    <t>% age Purity:</t>
  </si>
  <si>
    <t>NDQB201804393</t>
  </si>
  <si>
    <t>Weight (mg):</t>
  </si>
  <si>
    <t>Sulphamethoxazole 800 mg, Trimethoprim 160 mg</t>
  </si>
  <si>
    <t>Standard Conc (mg/mL):</t>
  </si>
  <si>
    <t>Each tablet contain Sulphamethoxazole B.P 800 mg and Trimethoprim B.P 160 mg.</t>
  </si>
  <si>
    <t>2018-04-25 08:15:08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</si>
  <si>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</si>
  <si>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</si>
  <si>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</si>
  <si>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</si>
  <si>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</si>
  <si>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</si>
  <si>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</si>
  <si>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</si>
  <si>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</si>
  <si>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</si>
  <si>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</si>
  <si>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</si>
  <si>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</si>
  <si>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</si>
  <si>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</si>
  <si>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</si>
  <si>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</si>
  <si>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</si>
  <si>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</si>
  <si>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</si>
  <si>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</si>
  <si>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</si>
  <si>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</si>
  <si>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</si>
  <si>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</si>
  <si>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</si>
  <si>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</si>
  <si>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</si>
  <si>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</si>
  <si>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</si>
  <si>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</si>
  <si>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</si>
  <si>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</si>
  <si>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</si>
  <si>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</si>
  <si>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</si>
  <si>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</si>
  <si>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</si>
  <si>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</si>
  <si>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</si>
  <si>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</si>
  <si>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</si>
  <si>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</si>
  <si>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</si>
  <si>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</si>
  <si>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</si>
  <si>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</si>
  <si>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</si>
  <si>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</si>
  <si>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</si>
  <si>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</si>
  <si>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</si>
  <si>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</si>
  <si>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</si>
  <si>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</si>
  <si>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</si>
  <si>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</si>
  <si>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</si>
  <si>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</si>
  <si>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</si>
  <si>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</si>
  <si>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</si>
  <si>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</si>
  <si>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</si>
  <si>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</si>
  <si>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</si>
  <si>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</si>
  <si>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</si>
  <si>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</si>
  <si>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</si>
  <si>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</si>
  <si>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</si>
  <si>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</si>
  <si>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</si>
  <si>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</si>
  <si>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</si>
  <si>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</si>
  <si>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</si>
  <si>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</si>
  <si>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</si>
  <si>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</si>
  <si>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</si>
  <si>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</si>
  <si>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</si>
  <si>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</si>
  <si>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</si>
  <si>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</si>
  <si>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</si>
  <si>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</si>
  <si>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</si>
  <si>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</si>
  <si>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</si>
  <si>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</si>
  <si>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</si>
  <si>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</si>
  <si>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</si>
  <si>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</si>
  <si>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</si>
  <si>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</si>
  <si>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</si>
  <si>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</si>
  <si>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</si>
  <si>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</si>
  <si>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</si>
  <si>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</si>
  <si>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</si>
  <si>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</si>
  <si>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</si>
  <si>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</si>
  <si>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</si>
  <si>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</si>
  <si>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</si>
  <si>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</si>
  <si>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</si>
  <si>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</si>
  <si>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</si>
  <si>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</si>
  <si>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</si>
  <si>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TRIMETHOPRIM</t>
  </si>
  <si>
    <t>SULFAMETHOXAZOLE</t>
  </si>
  <si>
    <t>S12-6</t>
  </si>
  <si>
    <t>T7-5</t>
  </si>
  <si>
    <r>
      <t xml:space="preserve">The Resolution between Trimethoprim and Sulfamethoxazole peaks should </t>
    </r>
    <r>
      <rPr>
        <b/>
        <sz val="12"/>
        <color rgb="FF000000"/>
        <rFont val="Book Antiqua"/>
        <family val="1"/>
      </rPr>
      <t>not be less than 5.0</t>
    </r>
    <r>
      <rPr>
        <sz val="12"/>
        <color rgb="FF000000"/>
        <rFont val="Book Antiqua"/>
        <family val="1"/>
      </rPr>
      <t xml:space="preserve"> </t>
    </r>
  </si>
  <si>
    <t>RESOLUTION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</si>
</sst>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32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3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  <font>
      <b/>
      <sz val="10"/>
      <color rgb="FF000000"/>
      <name val="Book Antiqua"/>
      <family val="1"/>
    </font>
    <font>
      <b/>
      <sz val="12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sz val="11"/>
      <color rgb="FF000000"/>
      <name val="Book Antiqua"/>
      <family val="1"/>
    </font>
    <font>
      <sz val="12"/>
      <color rgb="FF000000"/>
      <name val="Book Antiqua"/>
      <family val="1"/>
    </font>
    <font>
      <sz val="10"/>
      <color rgb="FF000000"/>
      <name val="Arial"/>
      <family val="2"/>
    </font>
    <font>
      <sz val="11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30" fillId="2" borderId="0"/>
  </cellStyleXfs>
  <cellXfs count="54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7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8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9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0" fontId="10" fillId="2" borderId="14" xfId="0" applyFont="1" applyFill="1" applyBorder="1" applyAlignment="1">
      <alignment horizont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1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1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0" fontId="10" fillId="2" borderId="23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4" xfId="0" applyNumberFormat="1" applyFont="1" applyFill="1" applyBorder="1" applyAlignment="1">
      <alignment horizontal="center"/>
    </xf>
    <xf numFmtId="2" fontId="12" fillId="7" borderId="33" xfId="0" applyNumberFormat="1" applyFont="1" applyFill="1" applyBorder="1" applyAlignment="1">
      <alignment horizontal="center"/>
    </xf>
    <xf numFmtId="0" fontId="13" fillId="2" borderId="0" xfId="0" applyFont="1" applyFill="1"/>
    <xf numFmtId="10" fontId="12" fillId="6" borderId="54" xfId="0" applyNumberFormat="1" applyFont="1" applyFill="1" applyBorder="1" applyAlignment="1">
      <alignment horizontal="center"/>
    </xf>
    <xf numFmtId="171" fontId="10" fillId="2" borderId="16" xfId="0" applyNumberFormat="1" applyFont="1" applyFill="1" applyBorder="1" applyAlignment="1">
      <alignment horizontal="right"/>
    </xf>
    <xf numFmtId="0" fontId="10" fillId="2" borderId="14" xfId="0" applyFont="1" applyFill="1" applyBorder="1" applyAlignment="1">
      <alignment horizontal="right"/>
    </xf>
    <xf numFmtId="2" fontId="12" fillId="7" borderId="55" xfId="0" applyNumberFormat="1" applyFont="1" applyFill="1" applyBorder="1" applyAlignment="1">
      <alignment horizontal="center"/>
    </xf>
    <xf numFmtId="0" fontId="10" fillId="2" borderId="13" xfId="0" applyFont="1" applyFill="1" applyBorder="1"/>
    <xf numFmtId="0" fontId="12" fillId="7" borderId="28" xfId="0" applyFont="1" applyFill="1" applyBorder="1" applyAlignment="1">
      <alignment horizontal="center"/>
    </xf>
    <xf numFmtId="0" fontId="12" fillId="7" borderId="56" xfId="0" applyFont="1" applyFill="1" applyBorder="1" applyAlignment="1">
      <alignment horizontal="center"/>
    </xf>
    <xf numFmtId="2" fontId="12" fillId="6" borderId="54" xfId="0" applyNumberFormat="1" applyFont="1" applyFill="1" applyBorder="1" applyAlignment="1">
      <alignment horizontal="center"/>
    </xf>
    <xf numFmtId="2" fontId="12" fillId="7" borderId="46" xfId="0" applyNumberFormat="1" applyFont="1" applyFill="1" applyBorder="1" applyAlignment="1">
      <alignment horizontal="center"/>
    </xf>
    <xf numFmtId="166" fontId="10" fillId="2" borderId="43" xfId="0" applyNumberFormat="1" applyFont="1" applyFill="1" applyBorder="1" applyAlignment="1">
      <alignment horizontal="center"/>
    </xf>
    <xf numFmtId="173" fontId="10" fillId="2" borderId="13" xfId="0" applyNumberFormat="1" applyFont="1" applyFill="1" applyBorder="1" applyAlignment="1">
      <alignment horizontal="center" vertical="center"/>
    </xf>
    <xf numFmtId="173" fontId="10" fillId="2" borderId="14" xfId="0" applyNumberFormat="1" applyFont="1" applyFill="1" applyBorder="1" applyAlignment="1">
      <alignment horizontal="center" vertical="center"/>
    </xf>
    <xf numFmtId="173" fontId="10" fillId="2" borderId="15" xfId="0" applyNumberFormat="1" applyFont="1" applyFill="1" applyBorder="1" applyAlignment="1">
      <alignment horizontal="center" vertical="center"/>
    </xf>
    <xf numFmtId="173" fontId="12" fillId="7" borderId="3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/>
    </xf>
    <xf numFmtId="1" fontId="12" fillId="3" borderId="14" xfId="0" applyNumberFormat="1" applyFont="1" applyFill="1" applyBorder="1" applyAlignment="1" applyProtection="1">
      <alignment horizontal="center"/>
      <protection locked="0"/>
    </xf>
    <xf numFmtId="1" fontId="12" fillId="3" borderId="15" xfId="0" applyNumberFormat="1" applyFont="1" applyFill="1" applyBorder="1" applyAlignment="1" applyProtection="1">
      <alignment horizontal="center"/>
      <protection locked="0"/>
    </xf>
    <xf numFmtId="0" fontId="10" fillId="2" borderId="13" xfId="0" applyFont="1" applyFill="1" applyBorder="1" applyAlignment="1">
      <alignment horizontal="center"/>
    </xf>
    <xf numFmtId="1" fontId="12" fillId="3" borderId="13" xfId="0" applyNumberFormat="1" applyFont="1" applyFill="1" applyBorder="1" applyAlignment="1" applyProtection="1">
      <alignment horizontal="center"/>
      <protection locked="0"/>
    </xf>
    <xf numFmtId="173" fontId="10" fillId="2" borderId="22" xfId="0" applyNumberFormat="1" applyFont="1" applyFill="1" applyBorder="1" applyAlignment="1">
      <alignment horizontal="center"/>
    </xf>
    <xf numFmtId="173" fontId="10" fillId="2" borderId="24" xfId="0" applyNumberFormat="1" applyFont="1" applyFill="1" applyBorder="1" applyAlignment="1">
      <alignment horizontal="center"/>
    </xf>
    <xf numFmtId="173" fontId="10" fillId="2" borderId="44" xfId="0" applyNumberFormat="1" applyFont="1" applyFill="1" applyBorder="1" applyAlignment="1">
      <alignment horizontal="center"/>
    </xf>
    <xf numFmtId="173" fontId="10" fillId="2" borderId="24" xfId="0" applyNumberFormat="1" applyFont="1" applyFill="1" applyBorder="1" applyAlignment="1">
      <alignment horizontal="center"/>
    </xf>
    <xf numFmtId="174" fontId="12" fillId="7" borderId="52" xfId="0" applyNumberFormat="1" applyFont="1" applyFill="1" applyBorder="1" applyAlignment="1">
      <alignment horizontal="center"/>
    </xf>
    <xf numFmtId="174" fontId="12" fillId="6" borderId="54" xfId="0" applyNumberFormat="1" applyFont="1" applyFill="1" applyBorder="1" applyAlignment="1">
      <alignment horizontal="center"/>
    </xf>
    <xf numFmtId="174" fontId="12" fillId="7" borderId="46" xfId="0" applyNumberFormat="1" applyFont="1" applyFill="1" applyBorder="1" applyAlignment="1">
      <alignment horizontal="center"/>
    </xf>
    <xf numFmtId="175" fontId="19" fillId="2" borderId="0" xfId="0" applyNumberFormat="1" applyFont="1" applyFill="1" applyAlignment="1">
      <alignment horizontal="center"/>
    </xf>
    <xf numFmtId="174" fontId="12" fillId="2" borderId="0" xfId="0" applyNumberFormat="1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2" fillId="2" borderId="0" xfId="0" applyFont="1" applyFill="1" applyAlignment="1" applyProtection="1">
      <alignment horizontal="left"/>
      <protection locked="0"/>
    </xf>
    <xf numFmtId="0" fontId="13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Protection="1">
      <protection locked="0"/>
    </xf>
    <xf numFmtId="168" fontId="13" fillId="3" borderId="0" xfId="0" applyNumberFormat="1" applyFont="1" applyFill="1" applyAlignment="1" applyProtection="1">
      <alignment horizontal="center"/>
      <protection locked="0"/>
    </xf>
    <xf numFmtId="169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0" fillId="2" borderId="0" xfId="0" applyFont="1" applyFill="1" applyAlignment="1">
      <alignment horizontal="right"/>
    </xf>
    <xf numFmtId="0" fontId="12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4" fillId="2" borderId="0" xfId="0" applyFont="1" applyFill="1" applyAlignment="1">
      <alignment vertical="center" wrapText="1"/>
    </xf>
    <xf numFmtId="0" fontId="11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2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vertical="center" wrapText="1"/>
    </xf>
    <xf numFmtId="0" fontId="17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8" fillId="2" borderId="0" xfId="0" applyFont="1" applyFill="1" applyAlignment="1">
      <alignment horizontal="left" vertical="center" wrapText="1"/>
    </xf>
    <xf numFmtId="170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2" fillId="3" borderId="22" xfId="0" applyFont="1" applyFill="1" applyBorder="1" applyAlignment="1" applyProtection="1">
      <alignment horizontal="center"/>
      <protection locked="0"/>
    </xf>
    <xf numFmtId="0" fontId="10" fillId="2" borderId="23" xfId="0" applyFont="1" applyFill="1" applyBorder="1" applyAlignment="1">
      <alignment horizontal="right"/>
    </xf>
    <xf numFmtId="0" fontId="12" fillId="3" borderId="24" xfId="0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2" borderId="27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0" fillId="2" borderId="28" xfId="0" applyFont="1" applyFill="1" applyBorder="1" applyAlignment="1">
      <alignment horizontal="center"/>
    </xf>
    <xf numFmtId="171" fontId="10" fillId="2" borderId="26" xfId="0" applyNumberFormat="1" applyFont="1" applyFill="1" applyBorder="1" applyAlignment="1">
      <alignment horizontal="center"/>
    </xf>
    <xf numFmtId="171" fontId="10" fillId="2" borderId="30" xfId="0" applyNumberFormat="1" applyFont="1" applyFill="1" applyBorder="1" applyAlignment="1">
      <alignment horizontal="center"/>
    </xf>
    <xf numFmtId="0" fontId="17" fillId="2" borderId="13" xfId="0" applyFont="1" applyFill="1" applyBorder="1"/>
    <xf numFmtId="0" fontId="10" fillId="2" borderId="24" xfId="0" applyFont="1" applyFill="1" applyBorder="1" applyAlignment="1">
      <alignment horizontal="center"/>
    </xf>
    <xf numFmtId="0" fontId="12" fillId="3" borderId="23" xfId="0" applyFont="1" applyFill="1" applyBorder="1" applyAlignment="1" applyProtection="1">
      <alignment horizontal="center"/>
      <protection locked="0"/>
    </xf>
    <xf numFmtId="171" fontId="10" fillId="2" borderId="31" xfId="0" applyNumberFormat="1" applyFont="1" applyFill="1" applyBorder="1" applyAlignment="1">
      <alignment horizontal="center"/>
    </xf>
    <xf numFmtId="171" fontId="10" fillId="2" borderId="32" xfId="0" applyNumberFormat="1" applyFont="1" applyFill="1" applyBorder="1" applyAlignment="1">
      <alignment horizontal="center"/>
    </xf>
    <xf numFmtId="0" fontId="10" fillId="2" borderId="0" xfId="0" applyFont="1" applyFill="1"/>
    <xf numFmtId="0" fontId="10" fillId="2" borderId="33" xfId="0" applyFont="1" applyFill="1" applyBorder="1" applyAlignment="1">
      <alignment horizontal="center"/>
    </xf>
    <xf numFmtId="0" fontId="12" fillId="3" borderId="34" xfId="0" applyFont="1" applyFill="1" applyBorder="1" applyAlignment="1" applyProtection="1">
      <alignment horizontal="center"/>
      <protection locked="0"/>
    </xf>
    <xf numFmtId="171" fontId="10" fillId="2" borderId="35" xfId="0" applyNumberFormat="1" applyFont="1" applyFill="1" applyBorder="1" applyAlignment="1">
      <alignment horizontal="center"/>
    </xf>
    <xf numFmtId="171" fontId="10" fillId="2" borderId="36" xfId="0" applyNumberFormat="1" applyFont="1" applyFill="1" applyBorder="1" applyAlignment="1">
      <alignment horizontal="center"/>
    </xf>
    <xf numFmtId="0" fontId="10" fillId="2" borderId="15" xfId="0" applyFont="1" applyFill="1" applyBorder="1"/>
    <xf numFmtId="0" fontId="10" fillId="2" borderId="24" xfId="0" applyFont="1" applyFill="1" applyBorder="1" applyAlignment="1">
      <alignment horizontal="right"/>
    </xf>
    <xf numFmtId="1" fontId="11" fillId="6" borderId="37" xfId="0" applyNumberFormat="1" applyFont="1" applyFill="1" applyBorder="1" applyAlignment="1">
      <alignment horizontal="center"/>
    </xf>
    <xf numFmtId="171" fontId="11" fillId="6" borderId="38" xfId="0" applyNumberFormat="1" applyFont="1" applyFill="1" applyBorder="1" applyAlignment="1">
      <alignment horizontal="center"/>
    </xf>
    <xf numFmtId="171" fontId="11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0" fillId="2" borderId="40" xfId="0" applyFont="1" applyFill="1" applyBorder="1" applyAlignment="1">
      <alignment horizontal="right"/>
    </xf>
    <xf numFmtId="0" fontId="12" fillId="3" borderId="16" xfId="0" applyFont="1" applyFill="1" applyBorder="1" applyAlignment="1" applyProtection="1">
      <alignment horizontal="center"/>
      <protection locked="0"/>
    </xf>
    <xf numFmtId="0" fontId="10" fillId="2" borderId="11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24" xfId="0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166" fontId="10" fillId="6" borderId="41" xfId="0" applyNumberFormat="1" applyFont="1" applyFill="1" applyBorder="1" applyAlignment="1">
      <alignment horizontal="center"/>
    </xf>
    <xf numFmtId="166" fontId="10" fillId="2" borderId="0" xfId="0" applyNumberFormat="1" applyFont="1" applyFill="1" applyAlignment="1">
      <alignment horizontal="center"/>
    </xf>
    <xf numFmtId="166" fontId="10" fillId="6" borderId="17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66" fontId="12" fillId="3" borderId="41" xfId="0" applyNumberFormat="1" applyFont="1" applyFill="1" applyBorder="1" applyAlignment="1" applyProtection="1">
      <alignment horizontal="center"/>
      <protection locked="0"/>
    </xf>
    <xf numFmtId="166" fontId="10" fillId="2" borderId="0" xfId="0" applyNumberFormat="1" applyFont="1" applyFill="1"/>
    <xf numFmtId="0" fontId="10" fillId="2" borderId="29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5" xfId="0" applyFont="1" applyFill="1" applyBorder="1" applyAlignment="1">
      <alignment horizontal="right"/>
    </xf>
    <xf numFmtId="2" fontId="10" fillId="6" borderId="15" xfId="0" applyNumberFormat="1" applyFont="1" applyFill="1" applyBorder="1" applyAlignment="1">
      <alignment horizontal="center"/>
    </xf>
    <xf numFmtId="171" fontId="11" fillId="7" borderId="13" xfId="0" applyNumberFormat="1" applyFont="1" applyFill="1" applyBorder="1" applyAlignment="1">
      <alignment horizontal="center"/>
    </xf>
    <xf numFmtId="171" fontId="10" fillId="2" borderId="0" xfId="0" applyNumberFormat="1" applyFont="1" applyFill="1" applyAlignment="1">
      <alignment horizontal="center"/>
    </xf>
    <xf numFmtId="10" fontId="10" fillId="6" borderId="41" xfId="0" applyNumberFormat="1" applyFont="1" applyFill="1" applyBorder="1" applyAlignment="1">
      <alignment horizontal="center"/>
    </xf>
    <xf numFmtId="0" fontId="10" fillId="2" borderId="43" xfId="0" applyFont="1" applyFill="1" applyBorder="1" applyAlignment="1">
      <alignment horizontal="right"/>
    </xf>
    <xf numFmtId="0" fontId="10" fillId="7" borderId="15" xfId="0" applyFont="1" applyFill="1" applyBorder="1" applyAlignment="1">
      <alignment horizontal="center"/>
    </xf>
    <xf numFmtId="0" fontId="3" fillId="2" borderId="0" xfId="0" applyFont="1" applyFill="1"/>
    <xf numFmtId="0" fontId="11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72" fontId="12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2" fillId="3" borderId="21" xfId="0" applyFont="1" applyFill="1" applyBorder="1" applyAlignment="1" applyProtection="1">
      <alignment horizontal="center"/>
      <protection locked="0"/>
    </xf>
    <xf numFmtId="0" fontId="10" fillId="2" borderId="14" xfId="0" applyFont="1" applyFill="1" applyBorder="1" applyAlignment="1">
      <alignment horizontal="center"/>
    </xf>
    <xf numFmtId="1" fontId="12" fillId="3" borderId="23" xfId="0" applyNumberFormat="1" applyFont="1" applyFill="1" applyBorder="1" applyAlignment="1" applyProtection="1">
      <alignment horizontal="center"/>
      <protection locked="0"/>
    </xf>
    <xf numFmtId="0" fontId="10" fillId="2" borderId="15" xfId="0" applyFont="1" applyFill="1" applyBorder="1" applyAlignment="1">
      <alignment horizontal="center"/>
    </xf>
    <xf numFmtId="0" fontId="12" fillId="3" borderId="43" xfId="0" applyFont="1" applyFill="1" applyBorder="1" applyAlignment="1" applyProtection="1">
      <alignment horizontal="center"/>
      <protection locked="0"/>
    </xf>
    <xf numFmtId="0" fontId="13" fillId="2" borderId="24" xfId="0" applyFont="1" applyFill="1" applyBorder="1" applyAlignment="1">
      <alignment horizontal="center"/>
    </xf>
    <xf numFmtId="2" fontId="13" fillId="2" borderId="44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45" xfId="0" applyFont="1" applyFill="1" applyBorder="1" applyAlignment="1">
      <alignment horizontal="right"/>
    </xf>
    <xf numFmtId="0" fontId="10" fillId="2" borderId="41" xfId="0" applyFont="1" applyFill="1" applyBorder="1" applyAlignment="1">
      <alignment horizontal="right"/>
    </xf>
    <xf numFmtId="2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2" fillId="7" borderId="46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2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2" fillId="3" borderId="0" xfId="0" applyFont="1" applyFill="1" applyAlignment="1" applyProtection="1">
      <alignment horizontal="center"/>
      <protection locked="0"/>
    </xf>
    <xf numFmtId="0" fontId="11" fillId="2" borderId="47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0" xfId="0" applyFont="1" applyFill="1" applyBorder="1" applyAlignment="1">
      <alignment horizontal="center"/>
    </xf>
    <xf numFmtId="0" fontId="10" fillId="2" borderId="4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171" fontId="12" fillId="3" borderId="34" xfId="0" applyNumberFormat="1" applyFont="1" applyFill="1" applyBorder="1" applyAlignment="1" applyProtection="1">
      <alignment horizontal="center"/>
      <protection locked="0"/>
    </xf>
    <xf numFmtId="0" fontId="10" fillId="2" borderId="0" xfId="0" applyFont="1" applyFill="1" applyAlignment="1">
      <alignment horizontal="right"/>
    </xf>
    <xf numFmtId="1" fontId="11" fillId="6" borderId="49" xfId="0" applyNumberFormat="1" applyFont="1" applyFill="1" applyBorder="1" applyAlignment="1">
      <alignment horizontal="center"/>
    </xf>
    <xf numFmtId="1" fontId="11" fillId="6" borderId="50" xfId="0" applyNumberFormat="1" applyFont="1" applyFill="1" applyBorder="1" applyAlignment="1">
      <alignment horizontal="center"/>
    </xf>
    <xf numFmtId="171" fontId="11" fillId="6" borderId="15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0" fontId="12" fillId="3" borderId="52" xfId="0" applyFont="1" applyFill="1" applyBorder="1" applyAlignment="1" applyProtection="1">
      <alignment horizontal="center"/>
      <protection locked="0"/>
    </xf>
    <xf numFmtId="0" fontId="10" fillId="2" borderId="25" xfId="0" applyFont="1" applyFill="1" applyBorder="1" applyAlignment="1">
      <alignment horizontal="right"/>
    </xf>
    <xf numFmtId="2" fontId="10" fillId="6" borderId="27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27" xfId="0" applyNumberFormat="1" applyFont="1" applyFill="1" applyBorder="1" applyAlignment="1">
      <alignment horizontal="center"/>
    </xf>
    <xf numFmtId="166" fontId="10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0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2" borderId="53" xfId="0" applyFont="1" applyFill="1" applyBorder="1" applyAlignment="1">
      <alignment horizontal="right"/>
    </xf>
    <xf numFmtId="2" fontId="10" fillId="7" borderId="30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0" fontId="10" fillId="2" borderId="16" xfId="0" applyFont="1" applyFill="1" applyBorder="1" applyAlignment="1">
      <alignment horizontal="right"/>
    </xf>
    <xf numFmtId="171" fontId="11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0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wrapText="1"/>
    </xf>
    <xf numFmtId="0" fontId="10" fillId="2" borderId="23" xfId="0" applyFont="1" applyFill="1" applyBorder="1" applyAlignment="1">
      <alignment horizontal="center"/>
    </xf>
    <xf numFmtId="0" fontId="10" fillId="2" borderId="23" xfId="0" applyFont="1" applyFill="1" applyBorder="1"/>
    <xf numFmtId="10" fontId="12" fillId="6" borderId="27" xfId="0" applyNumberFormat="1" applyFont="1" applyFill="1" applyBorder="1" applyAlignment="1">
      <alignment horizontal="center"/>
    </xf>
    <xf numFmtId="0" fontId="10" fillId="2" borderId="43" xfId="0" applyFont="1" applyFill="1" applyBorder="1"/>
    <xf numFmtId="0" fontId="18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0" fillId="2" borderId="7" xfId="0" applyFont="1" applyFill="1" applyBorder="1"/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11" xfId="0" applyFont="1" applyFill="1" applyBorder="1"/>
    <xf numFmtId="0" fontId="18" fillId="2" borderId="0" xfId="0" applyFont="1" applyFill="1" applyAlignment="1">
      <alignment horizontal="right" vertical="center" wrapText="1"/>
    </xf>
    <xf numFmtId="0" fontId="12" fillId="2" borderId="0" xfId="0" applyFont="1" applyFill="1" applyAlignment="1" applyProtection="1">
      <alignment horizontal="right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166" fontId="10" fillId="2" borderId="21" xfId="0" applyNumberFormat="1" applyFont="1" applyFill="1" applyBorder="1" applyAlignment="1">
      <alignment horizontal="center"/>
    </xf>
    <xf numFmtId="166" fontId="10" fillId="2" borderId="23" xfId="0" applyNumberFormat="1" applyFont="1" applyFill="1" applyBorder="1" applyAlignment="1">
      <alignment horizontal="center"/>
    </xf>
    <xf numFmtId="166" fontId="10" fillId="2" borderId="13" xfId="0" applyNumberFormat="1" applyFont="1" applyFill="1" applyBorder="1" applyAlignment="1">
      <alignment horizontal="center"/>
    </xf>
    <xf numFmtId="166" fontId="10" fillId="2" borderId="14" xfId="0" applyNumberFormat="1" applyFont="1" applyFill="1" applyBorder="1" applyAlignment="1">
      <alignment horizontal="center"/>
    </xf>
    <xf numFmtId="166" fontId="10" fillId="2" borderId="15" xfId="0" applyNumberFormat="1" applyFont="1" applyFill="1" applyBorder="1" applyAlignment="1">
      <alignment horizontal="center"/>
    </xf>
    <xf numFmtId="10" fontId="12" fillId="6" borderId="54" xfId="0" applyNumberFormat="1" applyFont="1" applyFill="1" applyBorder="1" applyAlignment="1">
      <alignment horizontal="center"/>
    </xf>
    <xf numFmtId="2" fontId="12" fillId="7" borderId="33" xfId="0" applyNumberFormat="1" applyFont="1" applyFill="1" applyBorder="1" applyAlignment="1">
      <alignment horizontal="center"/>
    </xf>
    <xf numFmtId="0" fontId="13" fillId="2" borderId="0" xfId="0" applyFont="1" applyFill="1"/>
    <xf numFmtId="10" fontId="12" fillId="6" borderId="54" xfId="0" applyNumberFormat="1" applyFont="1" applyFill="1" applyBorder="1" applyAlignment="1">
      <alignment horizontal="center"/>
    </xf>
    <xf numFmtId="171" fontId="10" fillId="2" borderId="16" xfId="0" applyNumberFormat="1" applyFont="1" applyFill="1" applyBorder="1" applyAlignment="1">
      <alignment horizontal="right"/>
    </xf>
    <xf numFmtId="0" fontId="10" fillId="2" borderId="14" xfId="0" applyFont="1" applyFill="1" applyBorder="1" applyAlignment="1">
      <alignment horizontal="right"/>
    </xf>
    <xf numFmtId="2" fontId="12" fillId="7" borderId="55" xfId="0" applyNumberFormat="1" applyFont="1" applyFill="1" applyBorder="1" applyAlignment="1">
      <alignment horizontal="center"/>
    </xf>
    <xf numFmtId="0" fontId="10" fillId="2" borderId="13" xfId="0" applyFont="1" applyFill="1" applyBorder="1"/>
    <xf numFmtId="0" fontId="12" fillId="7" borderId="28" xfId="0" applyFont="1" applyFill="1" applyBorder="1" applyAlignment="1">
      <alignment horizontal="center"/>
    </xf>
    <xf numFmtId="0" fontId="12" fillId="7" borderId="56" xfId="0" applyFont="1" applyFill="1" applyBorder="1" applyAlignment="1">
      <alignment horizontal="center"/>
    </xf>
    <xf numFmtId="2" fontId="12" fillId="6" borderId="54" xfId="0" applyNumberFormat="1" applyFont="1" applyFill="1" applyBorder="1" applyAlignment="1">
      <alignment horizontal="center"/>
    </xf>
    <xf numFmtId="2" fontId="12" fillId="7" borderId="46" xfId="0" applyNumberFormat="1" applyFont="1" applyFill="1" applyBorder="1" applyAlignment="1">
      <alignment horizontal="center"/>
    </xf>
    <xf numFmtId="166" fontId="10" fillId="2" borderId="43" xfId="0" applyNumberFormat="1" applyFont="1" applyFill="1" applyBorder="1" applyAlignment="1">
      <alignment horizontal="center"/>
    </xf>
    <xf numFmtId="173" fontId="10" fillId="2" borderId="13" xfId="0" applyNumberFormat="1" applyFont="1" applyFill="1" applyBorder="1" applyAlignment="1">
      <alignment horizontal="center" vertical="center"/>
    </xf>
    <xf numFmtId="173" fontId="10" fillId="2" borderId="14" xfId="0" applyNumberFormat="1" applyFont="1" applyFill="1" applyBorder="1" applyAlignment="1">
      <alignment horizontal="center" vertical="center"/>
    </xf>
    <xf numFmtId="173" fontId="10" fillId="2" borderId="15" xfId="0" applyNumberFormat="1" applyFont="1" applyFill="1" applyBorder="1" applyAlignment="1">
      <alignment horizontal="center" vertical="center"/>
    </xf>
    <xf numFmtId="173" fontId="12" fillId="7" borderId="33" xfId="0" applyNumberFormat="1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/>
    </xf>
    <xf numFmtId="1" fontId="12" fillId="3" borderId="14" xfId="0" applyNumberFormat="1" applyFont="1" applyFill="1" applyBorder="1" applyAlignment="1" applyProtection="1">
      <alignment horizontal="center"/>
      <protection locked="0"/>
    </xf>
    <xf numFmtId="1" fontId="12" fillId="3" borderId="15" xfId="0" applyNumberFormat="1" applyFont="1" applyFill="1" applyBorder="1" applyAlignment="1" applyProtection="1">
      <alignment horizontal="center"/>
      <protection locked="0"/>
    </xf>
    <xf numFmtId="0" fontId="10" fillId="2" borderId="13" xfId="0" applyFont="1" applyFill="1" applyBorder="1" applyAlignment="1">
      <alignment horizontal="center"/>
    </xf>
    <xf numFmtId="1" fontId="12" fillId="3" borderId="13" xfId="0" applyNumberFormat="1" applyFont="1" applyFill="1" applyBorder="1" applyAlignment="1" applyProtection="1">
      <alignment horizontal="center"/>
      <protection locked="0"/>
    </xf>
    <xf numFmtId="173" fontId="10" fillId="2" borderId="22" xfId="0" applyNumberFormat="1" applyFont="1" applyFill="1" applyBorder="1" applyAlignment="1">
      <alignment horizontal="center"/>
    </xf>
    <xf numFmtId="173" fontId="10" fillId="2" borderId="24" xfId="0" applyNumberFormat="1" applyFont="1" applyFill="1" applyBorder="1" applyAlignment="1">
      <alignment horizontal="center"/>
    </xf>
    <xf numFmtId="173" fontId="10" fillId="2" borderId="44" xfId="0" applyNumberFormat="1" applyFont="1" applyFill="1" applyBorder="1" applyAlignment="1">
      <alignment horizontal="center"/>
    </xf>
    <xf numFmtId="173" fontId="10" fillId="2" borderId="24" xfId="0" applyNumberFormat="1" applyFont="1" applyFill="1" applyBorder="1" applyAlignment="1">
      <alignment horizontal="center"/>
    </xf>
    <xf numFmtId="174" fontId="12" fillId="7" borderId="52" xfId="0" applyNumberFormat="1" applyFont="1" applyFill="1" applyBorder="1" applyAlignment="1">
      <alignment horizontal="center"/>
    </xf>
    <xf numFmtId="174" fontId="12" fillId="6" borderId="54" xfId="0" applyNumberFormat="1" applyFont="1" applyFill="1" applyBorder="1" applyAlignment="1">
      <alignment horizontal="center"/>
    </xf>
    <xf numFmtId="174" fontId="12" fillId="7" borderId="46" xfId="0" applyNumberFormat="1" applyFont="1" applyFill="1" applyBorder="1" applyAlignment="1">
      <alignment horizontal="center"/>
    </xf>
    <xf numFmtId="175" fontId="19" fillId="2" borderId="0" xfId="0" applyNumberFormat="1" applyFont="1" applyFill="1" applyAlignment="1">
      <alignment horizontal="center"/>
    </xf>
    <xf numFmtId="174" fontId="12" fillId="2" borderId="0" xfId="0" applyNumberFormat="1" applyFont="1" applyFill="1" applyAlignment="1">
      <alignment horizontal="center"/>
    </xf>
    <xf numFmtId="0" fontId="24" fillId="2" borderId="0" xfId="0" applyFont="1" applyFill="1"/>
    <xf numFmtId="0" fontId="24" fillId="2" borderId="0" xfId="0" applyFont="1" applyFill="1" applyAlignment="1">
      <alignment horizontal="center"/>
    </xf>
    <xf numFmtId="2" fontId="25" fillId="2" borderId="0" xfId="0" applyNumberFormat="1" applyFont="1" applyFill="1" applyAlignment="1">
      <alignment horizontal="center"/>
    </xf>
    <xf numFmtId="164" fontId="25" fillId="2" borderId="0" xfId="0" applyNumberFormat="1" applyFont="1" applyFill="1" applyAlignment="1">
      <alignment horizontal="center"/>
    </xf>
    <xf numFmtId="0" fontId="28" fillId="3" borderId="3" xfId="0" applyFont="1" applyFill="1" applyBorder="1" applyAlignment="1" applyProtection="1">
      <alignment horizontal="center"/>
      <protection locked="0"/>
    </xf>
    <xf numFmtId="2" fontId="28" fillId="3" borderId="3" xfId="0" applyNumberFormat="1" applyFont="1" applyFill="1" applyBorder="1" applyAlignment="1" applyProtection="1">
      <alignment horizontal="center"/>
      <protection locked="0"/>
    </xf>
    <xf numFmtId="2" fontId="28" fillId="3" borderId="4" xfId="0" applyNumberFormat="1" applyFont="1" applyFill="1" applyBorder="1" applyAlignment="1" applyProtection="1">
      <alignment horizontal="center"/>
      <protection locked="0"/>
    </xf>
    <xf numFmtId="0" fontId="28" fillId="3" borderId="5" xfId="0" applyFont="1" applyFill="1" applyBorder="1" applyAlignment="1" applyProtection="1">
      <alignment horizontal="center"/>
      <protection locked="0"/>
    </xf>
    <xf numFmtId="0" fontId="29" fillId="2" borderId="0" xfId="0" applyFont="1" applyFill="1"/>
    <xf numFmtId="2" fontId="24" fillId="2" borderId="0" xfId="0" applyNumberFormat="1" applyFont="1" applyFill="1" applyAlignment="1">
      <alignment horizontal="center"/>
    </xf>
    <xf numFmtId="0" fontId="26" fillId="3" borderId="29" xfId="0" applyFont="1" applyFill="1" applyBorder="1" applyAlignment="1" applyProtection="1">
      <alignment horizontal="center"/>
      <protection locked="0"/>
    </xf>
    <xf numFmtId="0" fontId="26" fillId="3" borderId="23" xfId="0" applyFont="1" applyFill="1" applyBorder="1" applyAlignment="1" applyProtection="1">
      <alignment horizontal="center"/>
      <protection locked="0"/>
    </xf>
    <xf numFmtId="0" fontId="28" fillId="3" borderId="3" xfId="1" applyFont="1" applyFill="1" applyBorder="1" applyAlignment="1" applyProtection="1">
      <alignment horizontal="center"/>
      <protection locked="0"/>
    </xf>
    <xf numFmtId="2" fontId="28" fillId="3" borderId="3" xfId="1" applyNumberFormat="1" applyFont="1" applyFill="1" applyBorder="1" applyAlignment="1" applyProtection="1">
      <alignment horizontal="center"/>
      <protection locked="0"/>
    </xf>
    <xf numFmtId="2" fontId="28" fillId="3" borderId="4" xfId="1" applyNumberFormat="1" applyFont="1" applyFill="1" applyBorder="1" applyAlignment="1" applyProtection="1">
      <alignment horizontal="center"/>
      <protection locked="0"/>
    </xf>
    <xf numFmtId="0" fontId="28" fillId="3" borderId="5" xfId="1" applyFont="1" applyFill="1" applyBorder="1" applyAlignment="1" applyProtection="1">
      <alignment horizontal="center"/>
      <protection locked="0"/>
    </xf>
    <xf numFmtId="2" fontId="28" fillId="3" borderId="5" xfId="1" applyNumberFormat="1" applyFont="1" applyFill="1" applyBorder="1" applyAlignment="1" applyProtection="1">
      <alignment horizontal="center"/>
      <protection locked="0"/>
    </xf>
    <xf numFmtId="2" fontId="25" fillId="2" borderId="0" xfId="1" applyNumberFormat="1" applyFont="1" applyFill="1" applyAlignment="1">
      <alignment horizontal="center"/>
    </xf>
    <xf numFmtId="164" fontId="25" fillId="2" borderId="0" xfId="1" applyNumberFormat="1" applyFont="1" applyFill="1" applyAlignment="1">
      <alignment horizontal="center"/>
    </xf>
    <xf numFmtId="0" fontId="31" fillId="3" borderId="3" xfId="0" applyFont="1" applyFill="1" applyBorder="1" applyAlignment="1" applyProtection="1">
      <alignment horizontal="center"/>
      <protection locked="0"/>
    </xf>
    <xf numFmtId="2" fontId="31" fillId="3" borderId="3" xfId="0" applyNumberFormat="1" applyFont="1" applyFill="1" applyBorder="1" applyAlignment="1" applyProtection="1">
      <alignment horizontal="center"/>
      <protection locked="0"/>
    </xf>
    <xf numFmtId="2" fontId="31" fillId="3" borderId="4" xfId="0" applyNumberFormat="1" applyFont="1" applyFill="1" applyBorder="1" applyAlignment="1" applyProtection="1">
      <alignment horizontal="center"/>
      <protection locked="0"/>
    </xf>
    <xf numFmtId="0" fontId="31" fillId="3" borderId="5" xfId="0" applyFont="1" applyFill="1" applyBorder="1" applyAlignment="1" applyProtection="1">
      <alignment horizontal="center"/>
      <protection locked="0"/>
    </xf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8" xfId="0" applyFont="1" applyFill="1" applyBorder="1" applyAlignment="1">
      <alignment horizontal="center" wrapText="1"/>
    </xf>
    <xf numFmtId="0" fontId="9" fillId="2" borderId="19" xfId="0" applyFont="1" applyFill="1" applyBorder="1" applyAlignment="1">
      <alignment horizontal="center" wrapText="1"/>
    </xf>
    <xf numFmtId="0" fontId="9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8" fillId="2" borderId="21" xfId="0" applyFont="1" applyFill="1" applyBorder="1" applyAlignment="1">
      <alignment horizontal="left" vertical="center" wrapText="1"/>
    </xf>
    <xf numFmtId="0" fontId="18" fillId="2" borderId="22" xfId="0" applyFont="1" applyFill="1" applyBorder="1" applyAlignment="1">
      <alignment horizontal="left" vertical="center" wrapText="1"/>
    </xf>
    <xf numFmtId="0" fontId="18" fillId="2" borderId="43" xfId="0" applyFont="1" applyFill="1" applyBorder="1" applyAlignment="1">
      <alignment horizontal="left" vertical="center" wrapText="1"/>
    </xf>
    <xf numFmtId="0" fontId="18" fillId="2" borderId="44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8" fillId="2" borderId="18" xfId="0" applyFont="1" applyFill="1" applyBorder="1" applyAlignment="1">
      <alignment horizontal="justify" vertical="center" wrapText="1"/>
    </xf>
    <xf numFmtId="0" fontId="18" fillId="2" borderId="19" xfId="0" applyFont="1" applyFill="1" applyBorder="1" applyAlignment="1">
      <alignment horizontal="justify" vertical="center" wrapText="1"/>
    </xf>
    <xf numFmtId="0" fontId="18" fillId="2" borderId="20" xfId="0" applyFont="1" applyFill="1" applyBorder="1" applyAlignment="1">
      <alignment horizontal="justify" vertical="center" wrapText="1"/>
    </xf>
    <xf numFmtId="0" fontId="18" fillId="2" borderId="18" xfId="0" applyFont="1" applyFill="1" applyBorder="1" applyAlignment="1">
      <alignment horizontal="left" vertical="center" wrapText="1"/>
    </xf>
    <xf numFmtId="0" fontId="18" fillId="2" borderId="19" xfId="0" applyFont="1" applyFill="1" applyBorder="1" applyAlignment="1">
      <alignment horizontal="left" vertical="center" wrapText="1"/>
    </xf>
    <xf numFmtId="0" fontId="18" fillId="2" borderId="20" xfId="0" applyFont="1" applyFill="1" applyBorder="1" applyAlignment="1">
      <alignment horizontal="left" vertical="center" wrapText="1"/>
    </xf>
    <xf numFmtId="0" fontId="11" fillId="2" borderId="47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10" fontId="14" fillId="2" borderId="14" xfId="0" applyNumberFormat="1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left" vertical="center" wrapText="1"/>
    </xf>
    <xf numFmtId="0" fontId="18" fillId="2" borderId="9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43" xfId="0" applyFont="1" applyFill="1" applyBorder="1" applyAlignment="1">
      <alignment horizontal="center" vertical="center"/>
    </xf>
    <xf numFmtId="2" fontId="12" fillId="3" borderId="13" xfId="0" applyNumberFormat="1" applyFont="1" applyFill="1" applyBorder="1" applyAlignment="1" applyProtection="1">
      <alignment horizontal="center" vertical="center"/>
      <protection locked="0"/>
    </xf>
    <xf numFmtId="2" fontId="12" fillId="3" borderId="14" xfId="0" applyNumberFormat="1" applyFont="1" applyFill="1" applyBorder="1" applyAlignment="1" applyProtection="1">
      <alignment horizontal="center" vertical="center"/>
      <protection locked="0"/>
    </xf>
    <xf numFmtId="2" fontId="12" fillId="3" borderId="15" xfId="0" applyNumberFormat="1" applyFont="1" applyFill="1" applyBorder="1" applyAlignment="1" applyProtection="1">
      <alignment horizontal="center" vertical="center"/>
      <protection locked="0"/>
    </xf>
    <xf numFmtId="0" fontId="18" fillId="2" borderId="21" xfId="0" applyFont="1" applyFill="1" applyBorder="1" applyAlignment="1">
      <alignment horizontal="center" vertical="center" wrapText="1"/>
    </xf>
    <xf numFmtId="0" fontId="18" fillId="2" borderId="22" xfId="0" applyFont="1" applyFill="1" applyBorder="1" applyAlignment="1">
      <alignment horizontal="center" vertical="center" wrapText="1"/>
    </xf>
    <xf numFmtId="0" fontId="18" fillId="2" borderId="43" xfId="0" applyFont="1" applyFill="1" applyBorder="1" applyAlignment="1">
      <alignment horizontal="center" vertical="center" wrapText="1"/>
    </xf>
    <xf numFmtId="0" fontId="18" fillId="2" borderId="44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/>
    </xf>
    <xf numFmtId="0" fontId="11" fillId="2" borderId="47" xfId="0" applyFont="1" applyFill="1" applyBorder="1" applyAlignment="1">
      <alignment horizontal="center" vertical="center"/>
    </xf>
    <xf numFmtId="0" fontId="11" fillId="2" borderId="55" xfId="0" applyFont="1" applyFill="1" applyBorder="1" applyAlignment="1">
      <alignment horizontal="center" vertical="center"/>
    </xf>
    <xf numFmtId="0" fontId="26" fillId="3" borderId="0" xfId="0" applyFont="1" applyFill="1" applyAlignment="1" applyProtection="1">
      <alignment horizontal="left" wrapText="1"/>
      <protection locked="0"/>
    </xf>
    <xf numFmtId="0" fontId="12" fillId="3" borderId="0" xfId="0" applyFont="1" applyFill="1" applyAlignment="1" applyProtection="1">
      <alignment horizontal="left" wrapText="1"/>
      <protection locked="0"/>
    </xf>
    <xf numFmtId="0" fontId="18" fillId="2" borderId="18" xfId="0" applyFont="1" applyFill="1" applyBorder="1" applyAlignment="1">
      <alignment horizontal="center"/>
    </xf>
    <xf numFmtId="0" fontId="18" fillId="2" borderId="19" xfId="0" applyFont="1" applyFill="1" applyBorder="1" applyAlignment="1">
      <alignment horizontal="center"/>
    </xf>
    <xf numFmtId="0" fontId="18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27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1" fillId="2" borderId="40" xfId="0" applyFont="1" applyFill="1" applyBorder="1" applyAlignment="1">
      <alignment horizontal="center"/>
    </xf>
    <xf numFmtId="0" fontId="12" fillId="3" borderId="0" xfId="0" applyFont="1" applyFill="1" applyAlignment="1" applyProtection="1">
      <alignment horizontal="left"/>
      <protection locked="0"/>
    </xf>
    <xf numFmtId="2" fontId="12" fillId="3" borderId="16" xfId="0" applyNumberFormat="1" applyFont="1" applyFill="1" applyBorder="1" applyAlignment="1" applyProtection="1">
      <alignment horizontal="center"/>
      <protection locked="0"/>
    </xf>
  </cellXfs>
  <cellStyles count="2">
    <cellStyle name="Normal" xfId="0" builtinId="0"/>
    <cellStyle name="Normal 2" xfId="1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5" workbookViewId="0">
      <selection activeCell="C54" sqref="C54"/>
    </sheetView>
  </sheetViews>
  <sheetFormatPr defaultRowHeight="13.5" x14ac:dyDescent="0.25"/>
  <cols>
    <col min="1" max="1" width="27.5703125" style="399" customWidth="1"/>
    <col min="2" max="2" width="20.42578125" style="399" customWidth="1"/>
    <col min="3" max="3" width="31.85546875" style="399" customWidth="1"/>
    <col min="4" max="4" width="25.85546875" style="399" customWidth="1"/>
    <col min="5" max="5" width="25.7109375" style="399" customWidth="1"/>
    <col min="6" max="6" width="23.140625" style="399" customWidth="1"/>
    <col min="7" max="7" width="28.42578125" style="399" customWidth="1"/>
    <col min="8" max="8" width="21.5703125" style="399" customWidth="1"/>
    <col min="9" max="9" width="9.140625" style="399" customWidth="1"/>
    <col min="10" max="16384" width="9.140625" style="37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90" t="s">
        <v>0</v>
      </c>
      <c r="B15" s="490"/>
      <c r="C15" s="490"/>
      <c r="D15" s="490"/>
      <c r="E15" s="490"/>
    </row>
    <row r="16" spans="1:6" ht="16.5" customHeight="1" x14ac:dyDescent="0.3">
      <c r="A16" s="83" t="s">
        <v>1</v>
      </c>
      <c r="B16" s="52" t="s">
        <v>2</v>
      </c>
    </row>
    <row r="17" spans="1:6" ht="16.5" customHeight="1" x14ac:dyDescent="0.3">
      <c r="A17" s="8" t="s">
        <v>3</v>
      </c>
      <c r="B17" s="8" t="s">
        <v>5</v>
      </c>
      <c r="D17" s="9"/>
      <c r="E17" s="65"/>
    </row>
    <row r="18" spans="1:6" ht="16.5" customHeight="1" x14ac:dyDescent="0.3">
      <c r="A18" s="68" t="s">
        <v>4</v>
      </c>
      <c r="B18" s="466" t="s">
        <v>132</v>
      </c>
      <c r="C18" s="65"/>
      <c r="D18" s="65"/>
      <c r="E18" s="65"/>
    </row>
    <row r="19" spans="1:6" ht="16.5" customHeight="1" x14ac:dyDescent="0.3">
      <c r="A19" s="68" t="s">
        <v>6</v>
      </c>
      <c r="B19" s="488">
        <v>99.02</v>
      </c>
      <c r="C19" s="65"/>
      <c r="D19" s="65"/>
      <c r="E19" s="65"/>
    </row>
    <row r="20" spans="1:6" ht="16.5" customHeight="1" x14ac:dyDescent="0.3">
      <c r="A20" s="8" t="s">
        <v>8</v>
      </c>
      <c r="B20" s="488">
        <v>17.04</v>
      </c>
      <c r="C20" s="65"/>
      <c r="D20" s="65"/>
      <c r="E20" s="65"/>
    </row>
    <row r="21" spans="1:6" ht="16.5" customHeight="1" x14ac:dyDescent="0.3">
      <c r="A21" s="8" t="s">
        <v>10</v>
      </c>
      <c r="B21" s="489">
        <v>0.1704</v>
      </c>
      <c r="C21" s="65"/>
      <c r="D21" s="65"/>
      <c r="E21" s="65"/>
    </row>
    <row r="22" spans="1:6" ht="15.75" customHeight="1" x14ac:dyDescent="0.25">
      <c r="A22" s="65"/>
      <c r="B22" s="65" t="s">
        <v>12</v>
      </c>
      <c r="C22" s="65"/>
      <c r="D22" s="65"/>
      <c r="E22" s="65"/>
    </row>
    <row r="23" spans="1:6" ht="16.5" customHeight="1" x14ac:dyDescent="0.3">
      <c r="A23" s="14" t="s">
        <v>13</v>
      </c>
      <c r="B23" s="13" t="s">
        <v>14</v>
      </c>
      <c r="C23" s="14" t="s">
        <v>15</v>
      </c>
      <c r="D23" s="14" t="s">
        <v>16</v>
      </c>
      <c r="E23" s="14" t="s">
        <v>17</v>
      </c>
      <c r="F23" s="466" t="s">
        <v>136</v>
      </c>
    </row>
    <row r="24" spans="1:6" ht="16.5" customHeight="1" x14ac:dyDescent="0.3">
      <c r="A24" s="15">
        <v>1</v>
      </c>
      <c r="B24" s="484">
        <v>78594953</v>
      </c>
      <c r="C24" s="484">
        <v>7179.5</v>
      </c>
      <c r="D24" s="485">
        <v>1.1000000000000001</v>
      </c>
      <c r="E24" s="486">
        <v>9.5</v>
      </c>
      <c r="F24" s="407">
        <v>11.453810000000001</v>
      </c>
    </row>
    <row r="25" spans="1:6" ht="16.5" customHeight="1" x14ac:dyDescent="0.3">
      <c r="A25" s="15">
        <v>2</v>
      </c>
      <c r="B25" s="484">
        <v>78800832</v>
      </c>
      <c r="C25" s="484">
        <v>7167.2</v>
      </c>
      <c r="D25" s="485">
        <v>1.1000000000000001</v>
      </c>
      <c r="E25" s="486">
        <v>9.5</v>
      </c>
      <c r="F25" s="407">
        <v>11.43268</v>
      </c>
    </row>
    <row r="26" spans="1:6" ht="16.5" customHeight="1" x14ac:dyDescent="0.3">
      <c r="A26" s="15">
        <v>3</v>
      </c>
      <c r="B26" s="484">
        <v>78400985</v>
      </c>
      <c r="C26" s="484">
        <v>7075.6</v>
      </c>
      <c r="D26" s="485">
        <v>1.1000000000000001</v>
      </c>
      <c r="E26" s="486">
        <v>9.5</v>
      </c>
      <c r="F26" s="407">
        <v>11.38456</v>
      </c>
    </row>
    <row r="27" spans="1:6" ht="16.5" customHeight="1" x14ac:dyDescent="0.3">
      <c r="A27" s="15">
        <v>4</v>
      </c>
      <c r="B27" s="484">
        <v>78372105</v>
      </c>
      <c r="C27" s="484">
        <v>7089.2</v>
      </c>
      <c r="D27" s="485">
        <v>1.1000000000000001</v>
      </c>
      <c r="E27" s="486">
        <v>9.5</v>
      </c>
      <c r="F27" s="407">
        <v>11.385439999999999</v>
      </c>
    </row>
    <row r="28" spans="1:6" ht="16.5" customHeight="1" x14ac:dyDescent="0.3">
      <c r="A28" s="15">
        <v>5</v>
      </c>
      <c r="B28" s="484">
        <v>78379364</v>
      </c>
      <c r="C28" s="484">
        <v>7067.6</v>
      </c>
      <c r="D28" s="485">
        <v>1.1000000000000001</v>
      </c>
      <c r="E28" s="486">
        <v>9.5</v>
      </c>
      <c r="F28" s="407">
        <v>11.355689999999999</v>
      </c>
    </row>
    <row r="29" spans="1:6" ht="16.5" customHeight="1" x14ac:dyDescent="0.3">
      <c r="A29" s="15">
        <v>6</v>
      </c>
      <c r="B29" s="487">
        <v>78290319</v>
      </c>
      <c r="C29" s="487">
        <v>7064.2</v>
      </c>
      <c r="D29" s="485">
        <v>1.1000000000000001</v>
      </c>
      <c r="E29" s="486">
        <v>9.5</v>
      </c>
      <c r="F29" s="407">
        <v>11.353529999999999</v>
      </c>
    </row>
    <row r="30" spans="1:6" ht="16.5" customHeight="1" x14ac:dyDescent="0.3">
      <c r="A30" s="16" t="s">
        <v>18</v>
      </c>
      <c r="B30" s="17">
        <f>AVERAGE(B24:B29)</f>
        <v>78473093</v>
      </c>
      <c r="C30" s="18">
        <f>AVERAGE(C24:C29)</f>
        <v>7107.2166666666672</v>
      </c>
      <c r="D30" s="19">
        <f>AVERAGE(D24:D29)</f>
        <v>1.0999999999999999</v>
      </c>
      <c r="E30" s="19">
        <f>AVERAGE(E24:E29)</f>
        <v>9.5</v>
      </c>
      <c r="F30" s="474">
        <f>AVERAGE(F24:F29)</f>
        <v>11.394285000000002</v>
      </c>
    </row>
    <row r="31" spans="1:6" ht="16.5" customHeight="1" x14ac:dyDescent="0.3">
      <c r="A31" s="20" t="s">
        <v>19</v>
      </c>
      <c r="B31" s="21">
        <f>(STDEV(B24:B29)/B30)</f>
        <v>2.4168641505044682E-3</v>
      </c>
      <c r="C31" s="22"/>
      <c r="D31" s="22"/>
      <c r="E31" s="23"/>
    </row>
    <row r="32" spans="1:6" s="399" customFormat="1" ht="16.5" customHeight="1" x14ac:dyDescent="0.3">
      <c r="A32" s="24" t="s">
        <v>20</v>
      </c>
      <c r="B32" s="25">
        <f>COUNT(B24:B29)</f>
        <v>6</v>
      </c>
      <c r="C32" s="26"/>
      <c r="D32" s="66"/>
      <c r="E32" s="28"/>
    </row>
    <row r="33" spans="1:6" s="399" customFormat="1" ht="15.75" customHeight="1" x14ac:dyDescent="0.25">
      <c r="A33" s="65"/>
      <c r="B33" s="65"/>
      <c r="C33" s="65"/>
      <c r="D33" s="65"/>
      <c r="E33" s="65"/>
    </row>
    <row r="34" spans="1:6" s="399" customFormat="1" ht="16.5" customHeight="1" x14ac:dyDescent="0.3">
      <c r="A34" s="68" t="s">
        <v>21</v>
      </c>
      <c r="B34" s="33" t="s">
        <v>22</v>
      </c>
      <c r="C34" s="32"/>
      <c r="D34" s="32"/>
      <c r="E34" s="32"/>
    </row>
    <row r="35" spans="1:6" ht="16.5" customHeight="1" x14ac:dyDescent="0.3">
      <c r="A35" s="68"/>
      <c r="B35" s="33" t="s">
        <v>23</v>
      </c>
      <c r="C35" s="32"/>
      <c r="D35" s="32"/>
      <c r="E35" s="32"/>
    </row>
    <row r="36" spans="1:6" ht="16.5" customHeight="1" x14ac:dyDescent="0.3">
      <c r="A36" s="68"/>
      <c r="B36" s="33" t="s">
        <v>24</v>
      </c>
      <c r="C36" s="32"/>
      <c r="D36" s="32"/>
      <c r="E36" s="32"/>
    </row>
    <row r="37" spans="1:6" ht="15.75" customHeight="1" x14ac:dyDescent="0.3">
      <c r="A37" s="65"/>
      <c r="B37" s="473" t="s">
        <v>135</v>
      </c>
      <c r="C37" s="65"/>
      <c r="D37" s="65"/>
      <c r="E37" s="65"/>
    </row>
    <row r="38" spans="1:6" ht="16.5" customHeight="1" x14ac:dyDescent="0.3">
      <c r="A38" s="83" t="s">
        <v>1</v>
      </c>
      <c r="B38" s="52" t="s">
        <v>25</v>
      </c>
    </row>
    <row r="39" spans="1:6" ht="16.5" customHeight="1" x14ac:dyDescent="0.3">
      <c r="A39" s="68" t="s">
        <v>4</v>
      </c>
      <c r="B39" s="466" t="s">
        <v>132</v>
      </c>
      <c r="C39" s="65"/>
      <c r="D39" s="65"/>
      <c r="E39" s="65"/>
    </row>
    <row r="40" spans="1:6" ht="16.5" customHeight="1" x14ac:dyDescent="0.3">
      <c r="A40" s="68" t="s">
        <v>6</v>
      </c>
      <c r="B40" s="482">
        <v>99.02</v>
      </c>
      <c r="C40" s="65"/>
      <c r="D40" s="65"/>
      <c r="E40" s="65"/>
    </row>
    <row r="41" spans="1:6" ht="16.5" customHeight="1" x14ac:dyDescent="0.3">
      <c r="A41" s="8" t="s">
        <v>8</v>
      </c>
      <c r="B41" s="482">
        <v>16.079999999999998</v>
      </c>
      <c r="C41" s="65"/>
      <c r="D41" s="65"/>
      <c r="E41" s="65"/>
    </row>
    <row r="42" spans="1:6" ht="16.5" customHeight="1" x14ac:dyDescent="0.3">
      <c r="A42" s="8" t="s">
        <v>10</v>
      </c>
      <c r="B42" s="483">
        <f>16.08/100</f>
        <v>0.16079999999999997</v>
      </c>
      <c r="C42" s="65"/>
      <c r="D42" s="65"/>
      <c r="E42" s="65"/>
    </row>
    <row r="43" spans="1:6" ht="15.75" customHeight="1" x14ac:dyDescent="0.25">
      <c r="A43" s="65"/>
      <c r="B43" s="65"/>
      <c r="C43" s="65"/>
      <c r="D43" s="65"/>
      <c r="E43" s="65"/>
    </row>
    <row r="44" spans="1:6" ht="16.5" customHeight="1" x14ac:dyDescent="0.3">
      <c r="A44" s="14" t="s">
        <v>13</v>
      </c>
      <c r="B44" s="13" t="s">
        <v>14</v>
      </c>
      <c r="C44" s="14" t="s">
        <v>15</v>
      </c>
      <c r="D44" s="14" t="s">
        <v>16</v>
      </c>
      <c r="E44" s="14" t="s">
        <v>17</v>
      </c>
      <c r="F44" s="466" t="s">
        <v>136</v>
      </c>
    </row>
    <row r="45" spans="1:6" ht="16.5" customHeight="1" x14ac:dyDescent="0.3">
      <c r="A45" s="15">
        <v>1</v>
      </c>
      <c r="B45" s="477">
        <v>40953452</v>
      </c>
      <c r="C45" s="477">
        <v>13555.18</v>
      </c>
      <c r="D45" s="478">
        <v>0.94</v>
      </c>
      <c r="E45" s="479">
        <v>10.220000000000001</v>
      </c>
      <c r="F45" s="478">
        <v>16.28</v>
      </c>
    </row>
    <row r="46" spans="1:6" ht="16.5" customHeight="1" x14ac:dyDescent="0.3">
      <c r="A46" s="15">
        <v>2</v>
      </c>
      <c r="B46" s="477">
        <v>41223531</v>
      </c>
      <c r="C46" s="477">
        <v>13713.78</v>
      </c>
      <c r="D46" s="478">
        <v>0.94</v>
      </c>
      <c r="E46" s="478">
        <v>10.220000000000001</v>
      </c>
      <c r="F46" s="478">
        <v>16.37</v>
      </c>
    </row>
    <row r="47" spans="1:6" ht="16.5" customHeight="1" x14ac:dyDescent="0.3">
      <c r="A47" s="15">
        <v>3</v>
      </c>
      <c r="B47" s="477">
        <v>41281583</v>
      </c>
      <c r="C47" s="477">
        <v>13641.16</v>
      </c>
      <c r="D47" s="478">
        <v>0.92</v>
      </c>
      <c r="E47" s="478">
        <v>10.220000000000001</v>
      </c>
      <c r="F47" s="478">
        <v>16.28</v>
      </c>
    </row>
    <row r="48" spans="1:6" ht="16.5" customHeight="1" x14ac:dyDescent="0.3">
      <c r="A48" s="15">
        <v>4</v>
      </c>
      <c r="B48" s="477">
        <v>41439601</v>
      </c>
      <c r="C48" s="477">
        <v>13567.59</v>
      </c>
      <c r="D48" s="478">
        <v>0.93</v>
      </c>
      <c r="E48" s="478">
        <v>10.220000000000001</v>
      </c>
      <c r="F48" s="478">
        <v>16.260000000000002</v>
      </c>
    </row>
    <row r="49" spans="1:7" ht="16.5" customHeight="1" x14ac:dyDescent="0.3">
      <c r="A49" s="15">
        <v>5</v>
      </c>
      <c r="B49" s="477">
        <v>41105879</v>
      </c>
      <c r="C49" s="477">
        <v>13517.42</v>
      </c>
      <c r="D49" s="478">
        <v>0.94</v>
      </c>
      <c r="E49" s="478">
        <v>10.23</v>
      </c>
      <c r="F49" s="478">
        <v>16.309999999999999</v>
      </c>
    </row>
    <row r="50" spans="1:7" ht="16.5" customHeight="1" x14ac:dyDescent="0.3">
      <c r="A50" s="15">
        <v>6</v>
      </c>
      <c r="B50" s="480">
        <v>41374821</v>
      </c>
      <c r="C50" s="480">
        <v>13544.03</v>
      </c>
      <c r="D50" s="481">
        <v>0.94</v>
      </c>
      <c r="E50" s="481">
        <v>10.24</v>
      </c>
      <c r="F50" s="481">
        <v>16.260000000000002</v>
      </c>
    </row>
    <row r="51" spans="1:7" ht="16.5" customHeight="1" x14ac:dyDescent="0.3">
      <c r="A51" s="16" t="s">
        <v>18</v>
      </c>
      <c r="B51" s="17">
        <f>AVERAGE(B45:B50)</f>
        <v>41229811.166666664</v>
      </c>
      <c r="C51" s="18">
        <f>AVERAGE(C45:C50)</f>
        <v>13589.859999999999</v>
      </c>
      <c r="D51" s="19">
        <f>AVERAGE(D45:D50)</f>
        <v>0.93499999999999994</v>
      </c>
      <c r="E51" s="19">
        <f>AVERAGE(E45:E50)</f>
        <v>10.225</v>
      </c>
      <c r="F51" s="474">
        <f>AVERAGE(F45:F50)</f>
        <v>16.293333333333337</v>
      </c>
    </row>
    <row r="52" spans="1:7" ht="16.5" customHeight="1" x14ac:dyDescent="0.3">
      <c r="A52" s="20" t="s">
        <v>19</v>
      </c>
      <c r="B52" s="21">
        <f>(STDEV(B45:B50)/B51)</f>
        <v>4.3318599892661885E-3</v>
      </c>
      <c r="C52" s="22"/>
      <c r="D52" s="22"/>
      <c r="E52" s="23"/>
    </row>
    <row r="53" spans="1:7" s="399" customFormat="1" ht="16.5" customHeight="1" x14ac:dyDescent="0.3">
      <c r="A53" s="24" t="s">
        <v>20</v>
      </c>
      <c r="B53" s="25">
        <f>COUNT(B45:B50)</f>
        <v>6</v>
      </c>
      <c r="C53" s="26"/>
      <c r="D53" s="66"/>
      <c r="E53" s="28"/>
    </row>
    <row r="54" spans="1:7" s="399" customFormat="1" ht="15.75" customHeight="1" x14ac:dyDescent="0.25">
      <c r="A54" s="65"/>
      <c r="B54" s="65"/>
      <c r="C54" s="65"/>
      <c r="D54" s="65"/>
      <c r="E54" s="65"/>
    </row>
    <row r="55" spans="1:7" s="399" customFormat="1" ht="16.5" customHeight="1" x14ac:dyDescent="0.3">
      <c r="A55" s="68" t="s">
        <v>21</v>
      </c>
      <c r="B55" s="33" t="s">
        <v>22</v>
      </c>
      <c r="C55" s="32"/>
      <c r="D55" s="32"/>
      <c r="E55" s="32"/>
    </row>
    <row r="56" spans="1:7" ht="16.5" customHeight="1" x14ac:dyDescent="0.3">
      <c r="A56" s="68"/>
      <c r="B56" s="33" t="s">
        <v>23</v>
      </c>
      <c r="C56" s="32"/>
      <c r="D56" s="32"/>
      <c r="E56" s="32"/>
    </row>
    <row r="57" spans="1:7" ht="16.5" customHeight="1" x14ac:dyDescent="0.3">
      <c r="A57" s="68"/>
      <c r="B57" s="33" t="s">
        <v>24</v>
      </c>
      <c r="C57" s="32"/>
      <c r="D57" s="32"/>
      <c r="E57" s="32"/>
    </row>
    <row r="58" spans="1:7" ht="14.25" customHeight="1" thickBot="1" x14ac:dyDescent="0.35">
      <c r="A58" s="34"/>
      <c r="B58" s="473" t="s">
        <v>135</v>
      </c>
      <c r="D58" s="36"/>
      <c r="F58" s="37"/>
      <c r="G58" s="37"/>
    </row>
    <row r="59" spans="1:7" ht="15" customHeight="1" x14ac:dyDescent="0.3">
      <c r="B59" s="491" t="s">
        <v>26</v>
      </c>
      <c r="C59" s="491"/>
      <c r="E59" s="38" t="s">
        <v>27</v>
      </c>
      <c r="F59" s="39"/>
      <c r="G59" s="38" t="s">
        <v>28</v>
      </c>
    </row>
    <row r="60" spans="1:7" ht="15" customHeight="1" x14ac:dyDescent="0.3">
      <c r="A60" s="40" t="s">
        <v>29</v>
      </c>
      <c r="B60" s="42"/>
      <c r="C60" s="42"/>
      <c r="E60" s="42"/>
      <c r="G60" s="42"/>
    </row>
    <row r="61" spans="1:7" ht="15" customHeight="1" x14ac:dyDescent="0.3">
      <c r="A61" s="40" t="s">
        <v>30</v>
      </c>
      <c r="B61" s="43"/>
      <c r="C61" s="43"/>
      <c r="E61" s="43"/>
      <c r="G61" s="44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3" workbookViewId="0">
      <selection activeCell="C54" sqref="C54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90" t="s">
        <v>0</v>
      </c>
      <c r="B15" s="490"/>
      <c r="C15" s="490"/>
      <c r="D15" s="490"/>
      <c r="E15" s="490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65" t="s">
        <v>131</v>
      </c>
      <c r="C18" s="10"/>
      <c r="D18" s="10"/>
      <c r="E18" s="10"/>
    </row>
    <row r="19" spans="1:6" ht="16.5" customHeight="1" x14ac:dyDescent="0.3">
      <c r="A19" s="11" t="s">
        <v>6</v>
      </c>
      <c r="B19" s="467">
        <v>99.75</v>
      </c>
      <c r="C19" s="10"/>
      <c r="D19" s="10"/>
      <c r="E19" s="10"/>
    </row>
    <row r="20" spans="1:6" ht="16.5" customHeight="1" x14ac:dyDescent="0.3">
      <c r="A20" s="7" t="s">
        <v>8</v>
      </c>
      <c r="B20" s="467">
        <v>20.23</v>
      </c>
      <c r="C20" s="10"/>
      <c r="D20" s="10"/>
      <c r="E20" s="10"/>
    </row>
    <row r="21" spans="1:6" ht="16.5" customHeight="1" x14ac:dyDescent="0.3">
      <c r="A21" s="7" t="s">
        <v>10</v>
      </c>
      <c r="B21" s="468">
        <v>3.2368000000000001E-2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2" t="s">
        <v>13</v>
      </c>
      <c r="B23" s="13" t="s">
        <v>14</v>
      </c>
      <c r="C23" s="12" t="s">
        <v>15</v>
      </c>
      <c r="D23" s="12" t="s">
        <v>16</v>
      </c>
      <c r="E23" s="14" t="s">
        <v>17</v>
      </c>
    </row>
    <row r="24" spans="1:6" ht="16.5" customHeight="1" x14ac:dyDescent="0.3">
      <c r="A24" s="15">
        <v>1</v>
      </c>
      <c r="B24" s="469">
        <v>5606559</v>
      </c>
      <c r="C24" s="469">
        <v>5213.8</v>
      </c>
      <c r="D24" s="470">
        <v>1.3</v>
      </c>
      <c r="E24" s="471">
        <v>5.3</v>
      </c>
    </row>
    <row r="25" spans="1:6" ht="16.5" customHeight="1" x14ac:dyDescent="0.3">
      <c r="A25" s="15">
        <v>2</v>
      </c>
      <c r="B25" s="469">
        <v>5631080</v>
      </c>
      <c r="C25" s="469">
        <v>5200.8</v>
      </c>
      <c r="D25" s="470">
        <v>1.3</v>
      </c>
      <c r="E25" s="471">
        <v>5.3</v>
      </c>
    </row>
    <row r="26" spans="1:6" ht="16.5" customHeight="1" x14ac:dyDescent="0.3">
      <c r="A26" s="15">
        <v>3</v>
      </c>
      <c r="B26" s="469">
        <v>5594283</v>
      </c>
      <c r="C26" s="469">
        <v>5190.1000000000004</v>
      </c>
      <c r="D26" s="470">
        <v>1.3</v>
      </c>
      <c r="E26" s="471">
        <v>5.3</v>
      </c>
    </row>
    <row r="27" spans="1:6" ht="16.5" customHeight="1" x14ac:dyDescent="0.3">
      <c r="A27" s="15">
        <v>4</v>
      </c>
      <c r="B27" s="469">
        <v>5593130</v>
      </c>
      <c r="C27" s="469">
        <v>5157.3</v>
      </c>
      <c r="D27" s="470">
        <v>1.3</v>
      </c>
      <c r="E27" s="471">
        <v>5.3</v>
      </c>
    </row>
    <row r="28" spans="1:6" ht="16.5" customHeight="1" x14ac:dyDescent="0.3">
      <c r="A28" s="15">
        <v>5</v>
      </c>
      <c r="B28" s="469">
        <v>5595070</v>
      </c>
      <c r="C28" s="469">
        <v>5113.2</v>
      </c>
      <c r="D28" s="470">
        <v>1.3</v>
      </c>
      <c r="E28" s="471">
        <v>5.3</v>
      </c>
    </row>
    <row r="29" spans="1:6" ht="16.5" customHeight="1" x14ac:dyDescent="0.3">
      <c r="A29" s="15">
        <v>6</v>
      </c>
      <c r="B29" s="472">
        <v>5594142</v>
      </c>
      <c r="C29" s="472">
        <v>5111.8999999999996</v>
      </c>
      <c r="D29" s="470">
        <v>1.3</v>
      </c>
      <c r="E29" s="471">
        <v>5.3</v>
      </c>
    </row>
    <row r="30" spans="1:6" ht="16.5" customHeight="1" x14ac:dyDescent="0.3">
      <c r="A30" s="16" t="s">
        <v>18</v>
      </c>
      <c r="B30" s="17">
        <f>AVERAGE(B24:B29)</f>
        <v>5602377.333333333</v>
      </c>
      <c r="C30" s="18">
        <f>AVERAGE(C24:C29)</f>
        <v>5164.5166666666664</v>
      </c>
      <c r="D30" s="19">
        <f>AVERAGE(D24:D29)</f>
        <v>1.3</v>
      </c>
      <c r="E30" s="19">
        <f>AVERAGE(E24:E29)</f>
        <v>5.3</v>
      </c>
    </row>
    <row r="31" spans="1:6" ht="16.5" customHeight="1" x14ac:dyDescent="0.3">
      <c r="A31" s="20" t="s">
        <v>19</v>
      </c>
      <c r="B31" s="21">
        <f>(STDEV(B24:B29)/B30)</f>
        <v>2.663809048416065E-3</v>
      </c>
      <c r="C31" s="22"/>
      <c r="D31" s="22"/>
      <c r="E31" s="23"/>
      <c r="F31" s="2"/>
    </row>
    <row r="32" spans="1:6" s="2" customFormat="1" ht="16.5" customHeight="1" x14ac:dyDescent="0.3">
      <c r="A32" s="24" t="s">
        <v>20</v>
      </c>
      <c r="B32" s="25">
        <f>COUNT(B24:B29)</f>
        <v>6</v>
      </c>
      <c r="C32" s="26"/>
      <c r="D32" s="27"/>
      <c r="E32" s="28"/>
    </row>
    <row r="33" spans="1:6" s="2" customFormat="1" ht="15.75" customHeight="1" x14ac:dyDescent="0.25">
      <c r="A33" s="10"/>
      <c r="B33" s="10"/>
      <c r="C33" s="10"/>
      <c r="D33" s="10"/>
      <c r="E33" s="29"/>
    </row>
    <row r="34" spans="1:6" s="2" customFormat="1" ht="16.5" customHeight="1" x14ac:dyDescent="0.3">
      <c r="A34" s="11" t="s">
        <v>21</v>
      </c>
      <c r="B34" s="30" t="s">
        <v>22</v>
      </c>
      <c r="C34" s="31"/>
      <c r="D34" s="31"/>
      <c r="E34" s="32"/>
    </row>
    <row r="35" spans="1:6" ht="16.5" customHeight="1" x14ac:dyDescent="0.3">
      <c r="A35" s="11"/>
      <c r="B35" s="30" t="s">
        <v>23</v>
      </c>
      <c r="C35" s="31"/>
      <c r="D35" s="31"/>
      <c r="E35" s="32"/>
      <c r="F35" s="2"/>
    </row>
    <row r="36" spans="1:6" ht="16.5" customHeight="1" x14ac:dyDescent="0.3">
      <c r="A36" s="11"/>
      <c r="B36" s="33" t="s">
        <v>24</v>
      </c>
      <c r="C36" s="31"/>
      <c r="D36" s="31"/>
      <c r="E36" s="31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466" t="s">
        <v>131</v>
      </c>
      <c r="C39" s="10"/>
      <c r="D39" s="10"/>
      <c r="E39" s="10"/>
    </row>
    <row r="40" spans="1:6" ht="16.5" customHeight="1" x14ac:dyDescent="0.3">
      <c r="A40" s="11" t="s">
        <v>6</v>
      </c>
      <c r="B40" s="482">
        <v>99.75</v>
      </c>
      <c r="C40" s="10"/>
      <c r="D40" s="10"/>
      <c r="E40" s="10"/>
    </row>
    <row r="41" spans="1:6" ht="16.5" customHeight="1" x14ac:dyDescent="0.3">
      <c r="A41" s="7" t="s">
        <v>8</v>
      </c>
      <c r="B41" s="482">
        <v>19.260000000000002</v>
      </c>
      <c r="C41" s="10"/>
      <c r="D41" s="10"/>
      <c r="E41" s="10"/>
    </row>
    <row r="42" spans="1:6" ht="16.5" customHeight="1" x14ac:dyDescent="0.3">
      <c r="A42" s="7" t="s">
        <v>10</v>
      </c>
      <c r="B42" s="483">
        <f>19.26/25*4/100</f>
        <v>3.0816000000000003E-2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2" t="s">
        <v>13</v>
      </c>
      <c r="B44" s="13" t="s">
        <v>14</v>
      </c>
      <c r="C44" s="12" t="s">
        <v>15</v>
      </c>
      <c r="D44" s="12" t="s">
        <v>16</v>
      </c>
      <c r="E44" s="14" t="s">
        <v>17</v>
      </c>
    </row>
    <row r="45" spans="1:6" ht="16.5" customHeight="1" x14ac:dyDescent="0.3">
      <c r="A45" s="15">
        <v>1</v>
      </c>
      <c r="B45" s="477">
        <v>2522620</v>
      </c>
      <c r="C45" s="477">
        <v>8419.9500000000007</v>
      </c>
      <c r="D45" s="478">
        <v>1.23</v>
      </c>
      <c r="E45" s="479">
        <v>5.43</v>
      </c>
    </row>
    <row r="46" spans="1:6" ht="16.5" customHeight="1" x14ac:dyDescent="0.3">
      <c r="A46" s="15">
        <v>2</v>
      </c>
      <c r="B46" s="477">
        <v>2525473</v>
      </c>
      <c r="C46" s="477">
        <v>8506.1299999999992</v>
      </c>
      <c r="D46" s="478">
        <v>1.25</v>
      </c>
      <c r="E46" s="478">
        <v>5.43</v>
      </c>
    </row>
    <row r="47" spans="1:6" ht="16.5" customHeight="1" x14ac:dyDescent="0.3">
      <c r="A47" s="15">
        <v>3</v>
      </c>
      <c r="B47" s="477">
        <v>2523965</v>
      </c>
      <c r="C47" s="477">
        <v>8376.3799999999992</v>
      </c>
      <c r="D47" s="478">
        <v>1.23</v>
      </c>
      <c r="E47" s="478">
        <v>5.44</v>
      </c>
    </row>
    <row r="48" spans="1:6" ht="16.5" customHeight="1" x14ac:dyDescent="0.3">
      <c r="A48" s="15">
        <v>4</v>
      </c>
      <c r="B48" s="477">
        <v>2524253</v>
      </c>
      <c r="C48" s="477">
        <v>8363.2999999999993</v>
      </c>
      <c r="D48" s="478">
        <v>1.25</v>
      </c>
      <c r="E48" s="478">
        <v>5.44</v>
      </c>
    </row>
    <row r="49" spans="1:7" ht="16.5" customHeight="1" x14ac:dyDescent="0.3">
      <c r="A49" s="15">
        <v>5</v>
      </c>
      <c r="B49" s="477">
        <v>2503445</v>
      </c>
      <c r="C49" s="477">
        <v>8481.44</v>
      </c>
      <c r="D49" s="478">
        <v>1.26</v>
      </c>
      <c r="E49" s="478">
        <v>5.44</v>
      </c>
    </row>
    <row r="50" spans="1:7" ht="16.5" customHeight="1" x14ac:dyDescent="0.3">
      <c r="A50" s="15">
        <v>6</v>
      </c>
      <c r="B50" s="480">
        <v>2525208</v>
      </c>
      <c r="C50" s="480">
        <v>8323.7000000000007</v>
      </c>
      <c r="D50" s="481">
        <v>1.25</v>
      </c>
      <c r="E50" s="481">
        <v>5.44</v>
      </c>
    </row>
    <row r="51" spans="1:7" ht="16.5" customHeight="1" x14ac:dyDescent="0.3">
      <c r="A51" s="16" t="s">
        <v>18</v>
      </c>
      <c r="B51" s="17">
        <f>AVERAGE(B45:B50)</f>
        <v>2520827.3333333335</v>
      </c>
      <c r="C51" s="18">
        <f>AVERAGE(C45:C50)</f>
        <v>8411.8166666666657</v>
      </c>
      <c r="D51" s="19">
        <f>AVERAGE(D45:D50)</f>
        <v>1.2449999999999999</v>
      </c>
      <c r="E51" s="19">
        <f>AVERAGE(E45:E50)</f>
        <v>5.4366666666666674</v>
      </c>
    </row>
    <row r="52" spans="1:7" ht="16.5" customHeight="1" x14ac:dyDescent="0.3">
      <c r="A52" s="20" t="s">
        <v>19</v>
      </c>
      <c r="B52" s="21">
        <f>(STDEV(B45:B50)/B51)</f>
        <v>3.4019322776547446E-3</v>
      </c>
      <c r="C52" s="22"/>
      <c r="D52" s="22"/>
      <c r="E52" s="23"/>
      <c r="F52" s="2"/>
    </row>
    <row r="53" spans="1:7" s="2" customFormat="1" ht="16.5" customHeight="1" x14ac:dyDescent="0.3">
      <c r="A53" s="24" t="s">
        <v>20</v>
      </c>
      <c r="B53" s="25">
        <f>COUNT(B45:B50)</f>
        <v>6</v>
      </c>
      <c r="C53" s="26"/>
      <c r="D53" s="27"/>
      <c r="E53" s="28"/>
    </row>
    <row r="54" spans="1:7" s="2" customFormat="1" ht="15.75" customHeight="1" x14ac:dyDescent="0.25">
      <c r="A54" s="10"/>
      <c r="B54" s="10"/>
      <c r="C54" s="10"/>
      <c r="D54" s="10"/>
      <c r="E54" s="29"/>
    </row>
    <row r="55" spans="1:7" s="2" customFormat="1" ht="16.5" customHeight="1" x14ac:dyDescent="0.3">
      <c r="A55" s="11" t="s">
        <v>21</v>
      </c>
      <c r="B55" s="30" t="s">
        <v>22</v>
      </c>
      <c r="C55" s="31"/>
      <c r="D55" s="31"/>
      <c r="E55" s="32"/>
    </row>
    <row r="56" spans="1:7" ht="16.5" customHeight="1" x14ac:dyDescent="0.3">
      <c r="A56" s="11"/>
      <c r="B56" s="30" t="s">
        <v>23</v>
      </c>
      <c r="C56" s="31"/>
      <c r="D56" s="31"/>
      <c r="E56" s="32"/>
      <c r="F56" s="2"/>
    </row>
    <row r="57" spans="1:7" ht="16.5" customHeight="1" x14ac:dyDescent="0.3">
      <c r="A57" s="11"/>
      <c r="B57" s="33" t="s">
        <v>24</v>
      </c>
      <c r="C57" s="31"/>
      <c r="D57" s="32"/>
      <c r="E57" s="31"/>
    </row>
    <row r="58" spans="1:7" ht="14.25" customHeight="1" x14ac:dyDescent="0.25">
      <c r="A58" s="34"/>
      <c r="B58" s="35"/>
      <c r="D58" s="36"/>
      <c r="F58" s="37"/>
      <c r="G58" s="37"/>
    </row>
    <row r="59" spans="1:7" ht="15" customHeight="1" x14ac:dyDescent="0.3">
      <c r="B59" s="491" t="s">
        <v>26</v>
      </c>
      <c r="C59" s="491"/>
      <c r="E59" s="38" t="s">
        <v>27</v>
      </c>
      <c r="F59" s="39"/>
      <c r="G59" s="38" t="s">
        <v>28</v>
      </c>
    </row>
    <row r="60" spans="1:7" ht="15" customHeight="1" x14ac:dyDescent="0.3">
      <c r="A60" s="40" t="s">
        <v>29</v>
      </c>
      <c r="B60" s="41"/>
      <c r="C60" s="41"/>
      <c r="E60" s="41"/>
      <c r="F60" s="2"/>
      <c r="G60" s="42"/>
    </row>
    <row r="61" spans="1:7" ht="15" customHeight="1" x14ac:dyDescent="0.3">
      <c r="A61" s="40" t="s">
        <v>30</v>
      </c>
      <c r="B61" s="43"/>
      <c r="C61" s="43"/>
      <c r="E61" s="43"/>
      <c r="F61" s="2"/>
      <c r="G61" s="44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42" workbookViewId="0">
      <selection activeCell="E48" sqref="E48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95" t="s">
        <v>31</v>
      </c>
      <c r="B11" s="496"/>
      <c r="C11" s="496"/>
      <c r="D11" s="496"/>
      <c r="E11" s="496"/>
      <c r="F11" s="497"/>
      <c r="G11" s="84"/>
    </row>
    <row r="12" spans="1:7" ht="16.5" customHeight="1" x14ac:dyDescent="0.3">
      <c r="A12" s="494" t="s">
        <v>32</v>
      </c>
      <c r="B12" s="494"/>
      <c r="C12" s="494"/>
      <c r="D12" s="494"/>
      <c r="E12" s="494"/>
      <c r="F12" s="494"/>
      <c r="G12" s="83"/>
    </row>
    <row r="14" spans="1:7" ht="16.5" customHeight="1" x14ac:dyDescent="0.3">
      <c r="A14" s="499" t="s">
        <v>33</v>
      </c>
      <c r="B14" s="499"/>
      <c r="C14" s="53" t="s">
        <v>5</v>
      </c>
    </row>
    <row r="15" spans="1:7" ht="16.5" customHeight="1" x14ac:dyDescent="0.3">
      <c r="A15" s="499" t="s">
        <v>34</v>
      </c>
      <c r="B15" s="499"/>
      <c r="C15" s="53" t="s">
        <v>7</v>
      </c>
    </row>
    <row r="16" spans="1:7" ht="16.5" customHeight="1" x14ac:dyDescent="0.3">
      <c r="A16" s="499" t="s">
        <v>35</v>
      </c>
      <c r="B16" s="499"/>
      <c r="C16" s="53" t="s">
        <v>9</v>
      </c>
    </row>
    <row r="17" spans="1:5" ht="16.5" customHeight="1" x14ac:dyDescent="0.3">
      <c r="A17" s="499" t="s">
        <v>36</v>
      </c>
      <c r="B17" s="499"/>
      <c r="C17" s="53" t="s">
        <v>11</v>
      </c>
    </row>
    <row r="18" spans="1:5" ht="16.5" customHeight="1" x14ac:dyDescent="0.3">
      <c r="A18" s="499" t="s">
        <v>37</v>
      </c>
      <c r="B18" s="499"/>
      <c r="C18" s="90" t="s">
        <v>12</v>
      </c>
    </row>
    <row r="19" spans="1:5" ht="16.5" customHeight="1" x14ac:dyDescent="0.3">
      <c r="A19" s="499" t="s">
        <v>38</v>
      </c>
      <c r="B19" s="499"/>
      <c r="C19" s="90" t="e">
        <f>#REF!</f>
        <v>#REF!</v>
      </c>
    </row>
    <row r="20" spans="1:5" ht="16.5" customHeight="1" x14ac:dyDescent="0.3">
      <c r="A20" s="55"/>
      <c r="B20" s="55"/>
      <c r="C20" s="70"/>
    </row>
    <row r="21" spans="1:5" ht="16.5" customHeight="1" x14ac:dyDescent="0.3">
      <c r="A21" s="494" t="s">
        <v>1</v>
      </c>
      <c r="B21" s="494"/>
      <c r="C21" s="52" t="s">
        <v>39</v>
      </c>
      <c r="D21" s="59"/>
    </row>
    <row r="22" spans="1:5" ht="15.75" customHeight="1" x14ac:dyDescent="0.3">
      <c r="A22" s="498"/>
      <c r="B22" s="498"/>
      <c r="C22" s="50"/>
      <c r="D22" s="498"/>
      <c r="E22" s="498"/>
    </row>
    <row r="23" spans="1:5" ht="33.75" customHeight="1" x14ac:dyDescent="0.3">
      <c r="C23" s="79" t="s">
        <v>40</v>
      </c>
      <c r="D23" s="78" t="s">
        <v>41</v>
      </c>
      <c r="E23" s="45"/>
    </row>
    <row r="24" spans="1:5" ht="15.75" customHeight="1" x14ac:dyDescent="0.3">
      <c r="C24" s="88">
        <v>1048.22</v>
      </c>
      <c r="D24" s="80">
        <f t="shared" ref="D24:D43" si="0">(C24-$C$46)/$C$46</f>
        <v>3.4904181034567066E-3</v>
      </c>
      <c r="E24" s="46"/>
    </row>
    <row r="25" spans="1:5" ht="15.75" customHeight="1" x14ac:dyDescent="0.3">
      <c r="C25" s="88">
        <v>1043.97</v>
      </c>
      <c r="D25" s="81">
        <f t="shared" si="0"/>
        <v>-5.7822614769256612E-4</v>
      </c>
      <c r="E25" s="46"/>
    </row>
    <row r="26" spans="1:5" ht="15.75" customHeight="1" x14ac:dyDescent="0.3">
      <c r="C26" s="88">
        <v>1046.1199999999999</v>
      </c>
      <c r="D26" s="81">
        <f t="shared" si="0"/>
        <v>1.4800291793592884E-3</v>
      </c>
      <c r="E26" s="46"/>
    </row>
    <row r="27" spans="1:5" ht="15.75" customHeight="1" x14ac:dyDescent="0.3">
      <c r="C27" s="88">
        <v>1045.02</v>
      </c>
      <c r="D27" s="81">
        <f t="shared" si="0"/>
        <v>4.2696831435603427E-4</v>
      </c>
      <c r="E27" s="46"/>
    </row>
    <row r="28" spans="1:5" ht="15.75" customHeight="1" x14ac:dyDescent="0.3">
      <c r="C28" s="88">
        <v>1046.24</v>
      </c>
      <c r="D28" s="81">
        <f t="shared" si="0"/>
        <v>1.5949085464506752E-3</v>
      </c>
      <c r="E28" s="46"/>
    </row>
    <row r="29" spans="1:5" ht="15.75" customHeight="1" x14ac:dyDescent="0.3">
      <c r="C29" s="88">
        <v>1050.3</v>
      </c>
      <c r="D29" s="81">
        <f t="shared" si="0"/>
        <v>5.4816604663720462E-3</v>
      </c>
      <c r="E29" s="46"/>
    </row>
    <row r="30" spans="1:5" ht="15.75" customHeight="1" x14ac:dyDescent="0.3">
      <c r="C30" s="88">
        <v>1046.71</v>
      </c>
      <c r="D30" s="81">
        <f t="shared" si="0"/>
        <v>2.044852734224856E-3</v>
      </c>
      <c r="E30" s="46"/>
    </row>
    <row r="31" spans="1:5" ht="15.75" customHeight="1" x14ac:dyDescent="0.3">
      <c r="C31" s="88">
        <v>1054.8</v>
      </c>
      <c r="D31" s="81">
        <f t="shared" si="0"/>
        <v>9.7896367322948055E-3</v>
      </c>
      <c r="E31" s="46"/>
    </row>
    <row r="32" spans="1:5" ht="15.75" customHeight="1" x14ac:dyDescent="0.3">
      <c r="C32" s="88">
        <v>1045.69</v>
      </c>
      <c r="D32" s="81">
        <f t="shared" si="0"/>
        <v>1.0683781139490481E-3</v>
      </c>
      <c r="E32" s="46"/>
    </row>
    <row r="33" spans="1:7" ht="15.75" customHeight="1" x14ac:dyDescent="0.3">
      <c r="C33" s="88">
        <v>1041.8900000000001</v>
      </c>
      <c r="D33" s="81">
        <f t="shared" si="0"/>
        <v>-2.5694685106079054E-3</v>
      </c>
      <c r="E33" s="46"/>
    </row>
    <row r="34" spans="1:7" ht="15.75" customHeight="1" x14ac:dyDescent="0.3">
      <c r="C34" s="88">
        <v>1038.2</v>
      </c>
      <c r="D34" s="81">
        <f t="shared" si="0"/>
        <v>-6.1020090486646203E-3</v>
      </c>
      <c r="E34" s="46"/>
    </row>
    <row r="35" spans="1:7" ht="15.75" customHeight="1" x14ac:dyDescent="0.3">
      <c r="C35" s="88">
        <v>1045.1500000000001</v>
      </c>
      <c r="D35" s="81">
        <f t="shared" si="0"/>
        <v>5.5142096203835182E-4</v>
      </c>
      <c r="E35" s="46"/>
    </row>
    <row r="36" spans="1:7" ht="15.75" customHeight="1" x14ac:dyDescent="0.3">
      <c r="C36" s="88">
        <v>1038.8900000000001</v>
      </c>
      <c r="D36" s="81">
        <f t="shared" si="0"/>
        <v>-5.4414526878897454E-3</v>
      </c>
      <c r="E36" s="46"/>
    </row>
    <row r="37" spans="1:7" ht="15.75" customHeight="1" x14ac:dyDescent="0.3">
      <c r="C37" s="88">
        <v>1038.67</v>
      </c>
      <c r="D37" s="81">
        <f t="shared" si="0"/>
        <v>-5.6520648608904397E-3</v>
      </c>
      <c r="E37" s="46"/>
    </row>
    <row r="38" spans="1:7" ht="15.75" customHeight="1" x14ac:dyDescent="0.3">
      <c r="C38" s="88">
        <v>1045.56</v>
      </c>
      <c r="D38" s="81">
        <f t="shared" si="0"/>
        <v>9.439254662667306E-4</v>
      </c>
      <c r="E38" s="46"/>
    </row>
    <row r="39" spans="1:7" ht="15.75" customHeight="1" x14ac:dyDescent="0.3">
      <c r="C39" s="88">
        <v>1040.8399999999999</v>
      </c>
      <c r="D39" s="81">
        <f t="shared" si="0"/>
        <v>-3.5746629726567235E-3</v>
      </c>
      <c r="E39" s="46"/>
    </row>
    <row r="40" spans="1:7" ht="15.75" customHeight="1" x14ac:dyDescent="0.3">
      <c r="C40" s="88">
        <v>1043.8800000000001</v>
      </c>
      <c r="D40" s="81">
        <f t="shared" si="0"/>
        <v>-6.6438567301094296E-4</v>
      </c>
      <c r="E40" s="46"/>
    </row>
    <row r="41" spans="1:7" ht="15.75" customHeight="1" x14ac:dyDescent="0.3">
      <c r="C41" s="88">
        <v>1046.71</v>
      </c>
      <c r="D41" s="81">
        <f t="shared" si="0"/>
        <v>2.044852734224856E-3</v>
      </c>
      <c r="E41" s="46"/>
    </row>
    <row r="42" spans="1:7" ht="15.75" customHeight="1" x14ac:dyDescent="0.3">
      <c r="C42" s="88">
        <v>1045.21</v>
      </c>
      <c r="D42" s="81">
        <f t="shared" si="0"/>
        <v>6.0886064558393637E-4</v>
      </c>
      <c r="E42" s="46"/>
    </row>
    <row r="43" spans="1:7" ht="16.5" customHeight="1" x14ac:dyDescent="0.3">
      <c r="C43" s="89">
        <v>1039.4100000000001</v>
      </c>
      <c r="D43" s="82">
        <f t="shared" si="0"/>
        <v>-4.9436420971609102E-3</v>
      </c>
      <c r="E43" s="46"/>
    </row>
    <row r="44" spans="1:7" ht="16.5" customHeight="1" x14ac:dyDescent="0.3">
      <c r="C44" s="47"/>
      <c r="D44" s="46"/>
      <c r="E44" s="48"/>
    </row>
    <row r="45" spans="1:7" ht="16.5" customHeight="1" x14ac:dyDescent="0.3">
      <c r="B45" s="75" t="s">
        <v>42</v>
      </c>
      <c r="C45" s="76">
        <f>SUM(C24:C44)</f>
        <v>20891.479999999996</v>
      </c>
      <c r="D45" s="71"/>
      <c r="E45" s="47"/>
    </row>
    <row r="46" spans="1:7" ht="17.25" customHeight="1" x14ac:dyDescent="0.3">
      <c r="B46" s="75" t="s">
        <v>43</v>
      </c>
      <c r="C46" s="77">
        <f>AVERAGE(C24:C44)</f>
        <v>1044.5739999999998</v>
      </c>
      <c r="E46" s="49"/>
    </row>
    <row r="47" spans="1:7" ht="17.25" customHeight="1" x14ac:dyDescent="0.3">
      <c r="A47" s="53"/>
      <c r="B47" s="72"/>
      <c r="D47" s="51"/>
      <c r="E47" s="49"/>
    </row>
    <row r="48" spans="1:7" ht="33.75" customHeight="1" x14ac:dyDescent="0.3">
      <c r="B48" s="85" t="s">
        <v>43</v>
      </c>
      <c r="C48" s="78" t="s">
        <v>44</v>
      </c>
      <c r="D48" s="73"/>
      <c r="G48" s="51"/>
    </row>
    <row r="49" spans="1:6" ht="17.25" customHeight="1" x14ac:dyDescent="0.3">
      <c r="B49" s="492">
        <f>C46</f>
        <v>1044.5739999999998</v>
      </c>
      <c r="C49" s="86">
        <f>-IF(C46&lt;=80,10%,IF(C46&lt;250,7.5%,5%))</f>
        <v>-0.05</v>
      </c>
      <c r="D49" s="74">
        <f>IF(C46&lt;=80,C46*0.9,IF(C46&lt;250,C46*0.925,C46*0.95))</f>
        <v>992.34529999999984</v>
      </c>
    </row>
    <row r="50" spans="1:6" ht="17.25" customHeight="1" x14ac:dyDescent="0.3">
      <c r="B50" s="493"/>
      <c r="C50" s="87">
        <f>IF(C46&lt;=80, 10%, IF(C46&lt;250, 7.5%, 5%))</f>
        <v>0.05</v>
      </c>
      <c r="D50" s="74">
        <f>IF(C46&lt;=80, C46*1.1, IF(C46&lt;250, C46*1.075, C46*1.05))</f>
        <v>1096.8027</v>
      </c>
    </row>
    <row r="51" spans="1:6" ht="16.5" customHeight="1" x14ac:dyDescent="0.3">
      <c r="A51" s="56"/>
      <c r="B51" s="57"/>
      <c r="C51" s="53"/>
      <c r="D51" s="58"/>
      <c r="E51" s="53"/>
      <c r="F51" s="59"/>
    </row>
    <row r="52" spans="1:6" ht="16.5" customHeight="1" x14ac:dyDescent="0.3">
      <c r="A52" s="53"/>
      <c r="B52" s="60" t="s">
        <v>26</v>
      </c>
      <c r="C52" s="60"/>
      <c r="D52" s="61" t="s">
        <v>27</v>
      </c>
      <c r="E52" s="62"/>
      <c r="F52" s="61" t="s">
        <v>28</v>
      </c>
    </row>
    <row r="53" spans="1:6" ht="34.5" customHeight="1" x14ac:dyDescent="0.3">
      <c r="A53" s="63" t="s">
        <v>29</v>
      </c>
      <c r="B53" s="64"/>
      <c r="C53" s="65"/>
      <c r="D53" s="64"/>
      <c r="E53" s="54"/>
      <c r="F53" s="66"/>
    </row>
    <row r="54" spans="1:6" ht="34.5" customHeight="1" x14ac:dyDescent="0.3">
      <c r="A54" s="63" t="s">
        <v>30</v>
      </c>
      <c r="B54" s="67"/>
      <c r="C54" s="68"/>
      <c r="D54" s="67"/>
      <c r="E54" s="54"/>
      <c r="F54" s="69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03" zoomScale="46" zoomScaleNormal="40" zoomScalePageLayoutView="46" workbookViewId="0">
      <selection activeCell="D108" sqref="D108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00" t="s">
        <v>45</v>
      </c>
      <c r="B1" s="500"/>
      <c r="C1" s="500"/>
      <c r="D1" s="500"/>
      <c r="E1" s="500"/>
      <c r="F1" s="500"/>
      <c r="G1" s="500"/>
      <c r="H1" s="500"/>
      <c r="I1" s="500"/>
    </row>
    <row r="2" spans="1:9" ht="18.75" customHeight="1" x14ac:dyDescent="0.25">
      <c r="A2" s="500"/>
      <c r="B2" s="500"/>
      <c r="C2" s="500"/>
      <c r="D2" s="500"/>
      <c r="E2" s="500"/>
      <c r="F2" s="500"/>
      <c r="G2" s="500"/>
      <c r="H2" s="500"/>
      <c r="I2" s="500"/>
    </row>
    <row r="3" spans="1:9" ht="18.75" customHeight="1" x14ac:dyDescent="0.25">
      <c r="A3" s="500"/>
      <c r="B3" s="500"/>
      <c r="C3" s="500"/>
      <c r="D3" s="500"/>
      <c r="E3" s="500"/>
      <c r="F3" s="500"/>
      <c r="G3" s="500"/>
      <c r="H3" s="500"/>
      <c r="I3" s="500"/>
    </row>
    <row r="4" spans="1:9" ht="18.75" customHeight="1" x14ac:dyDescent="0.25">
      <c r="A4" s="500"/>
      <c r="B4" s="500"/>
      <c r="C4" s="500"/>
      <c r="D4" s="500"/>
      <c r="E4" s="500"/>
      <c r="F4" s="500"/>
      <c r="G4" s="500"/>
      <c r="H4" s="500"/>
      <c r="I4" s="500"/>
    </row>
    <row r="5" spans="1:9" ht="18.75" customHeight="1" x14ac:dyDescent="0.25">
      <c r="A5" s="500"/>
      <c r="B5" s="500"/>
      <c r="C5" s="500"/>
      <c r="D5" s="500"/>
      <c r="E5" s="500"/>
      <c r="F5" s="500"/>
      <c r="G5" s="500"/>
      <c r="H5" s="500"/>
      <c r="I5" s="500"/>
    </row>
    <row r="6" spans="1:9" ht="18.75" customHeight="1" x14ac:dyDescent="0.25">
      <c r="A6" s="500"/>
      <c r="B6" s="500"/>
      <c r="C6" s="500"/>
      <c r="D6" s="500"/>
      <c r="E6" s="500"/>
      <c r="F6" s="500"/>
      <c r="G6" s="500"/>
      <c r="H6" s="500"/>
      <c r="I6" s="500"/>
    </row>
    <row r="7" spans="1:9" ht="18.75" customHeight="1" x14ac:dyDescent="0.25">
      <c r="A7" s="500"/>
      <c r="B7" s="500"/>
      <c r="C7" s="500"/>
      <c r="D7" s="500"/>
      <c r="E7" s="500"/>
      <c r="F7" s="500"/>
      <c r="G7" s="500"/>
      <c r="H7" s="500"/>
      <c r="I7" s="500"/>
    </row>
    <row r="8" spans="1:9" x14ac:dyDescent="0.25">
      <c r="A8" s="501" t="s">
        <v>46</v>
      </c>
      <c r="B8" s="501"/>
      <c r="C8" s="501"/>
      <c r="D8" s="501"/>
      <c r="E8" s="501"/>
      <c r="F8" s="501"/>
      <c r="G8" s="501"/>
      <c r="H8" s="501"/>
      <c r="I8" s="501"/>
    </row>
    <row r="9" spans="1:9" x14ac:dyDescent="0.25">
      <c r="A9" s="501"/>
      <c r="B9" s="501"/>
      <c r="C9" s="501"/>
      <c r="D9" s="501"/>
      <c r="E9" s="501"/>
      <c r="F9" s="501"/>
      <c r="G9" s="501"/>
      <c r="H9" s="501"/>
      <c r="I9" s="501"/>
    </row>
    <row r="10" spans="1:9" x14ac:dyDescent="0.25">
      <c r="A10" s="501"/>
      <c r="B10" s="501"/>
      <c r="C10" s="501"/>
      <c r="D10" s="501"/>
      <c r="E10" s="501"/>
      <c r="F10" s="501"/>
      <c r="G10" s="501"/>
      <c r="H10" s="501"/>
      <c r="I10" s="501"/>
    </row>
    <row r="11" spans="1:9" x14ac:dyDescent="0.25">
      <c r="A11" s="501"/>
      <c r="B11" s="501"/>
      <c r="C11" s="501"/>
      <c r="D11" s="501"/>
      <c r="E11" s="501"/>
      <c r="F11" s="501"/>
      <c r="G11" s="501"/>
      <c r="H11" s="501"/>
      <c r="I11" s="501"/>
    </row>
    <row r="12" spans="1:9" x14ac:dyDescent="0.25">
      <c r="A12" s="501"/>
      <c r="B12" s="501"/>
      <c r="C12" s="501"/>
      <c r="D12" s="501"/>
      <c r="E12" s="501"/>
      <c r="F12" s="501"/>
      <c r="G12" s="501"/>
      <c r="H12" s="501"/>
      <c r="I12" s="501"/>
    </row>
    <row r="13" spans="1:9" x14ac:dyDescent="0.25">
      <c r="A13" s="501"/>
      <c r="B13" s="501"/>
      <c r="C13" s="501"/>
      <c r="D13" s="501"/>
      <c r="E13" s="501"/>
      <c r="F13" s="501"/>
      <c r="G13" s="501"/>
      <c r="H13" s="501"/>
      <c r="I13" s="501"/>
    </row>
    <row r="14" spans="1:9" x14ac:dyDescent="0.25">
      <c r="A14" s="501"/>
      <c r="B14" s="501"/>
      <c r="C14" s="501"/>
      <c r="D14" s="501"/>
      <c r="E14" s="501"/>
      <c r="F14" s="501"/>
      <c r="G14" s="501"/>
      <c r="H14" s="501"/>
      <c r="I14" s="501"/>
    </row>
    <row r="15" spans="1:9" ht="19.5" customHeight="1" x14ac:dyDescent="0.3">
      <c r="A15" s="91"/>
    </row>
    <row r="16" spans="1:9" ht="19.5" customHeight="1" x14ac:dyDescent="0.3">
      <c r="A16" s="534" t="s">
        <v>31</v>
      </c>
      <c r="B16" s="535"/>
      <c r="C16" s="535"/>
      <c r="D16" s="535"/>
      <c r="E16" s="535"/>
      <c r="F16" s="535"/>
      <c r="G16" s="535"/>
      <c r="H16" s="536"/>
    </row>
    <row r="17" spans="1:14" ht="20.25" customHeight="1" x14ac:dyDescent="0.25">
      <c r="A17" s="537" t="s">
        <v>47</v>
      </c>
      <c r="B17" s="537"/>
      <c r="C17" s="537"/>
      <c r="D17" s="537"/>
      <c r="E17" s="537"/>
      <c r="F17" s="537"/>
      <c r="G17" s="537"/>
      <c r="H17" s="537"/>
    </row>
    <row r="18" spans="1:14" ht="26.25" customHeight="1" x14ac:dyDescent="0.4">
      <c r="A18" s="93" t="s">
        <v>33</v>
      </c>
      <c r="B18" s="533" t="s">
        <v>5</v>
      </c>
      <c r="C18" s="533"/>
      <c r="D18" s="238"/>
      <c r="E18" s="94"/>
      <c r="F18" s="95"/>
      <c r="G18" s="95"/>
      <c r="H18" s="95"/>
    </row>
    <row r="19" spans="1:14" ht="26.25" customHeight="1" x14ac:dyDescent="0.4">
      <c r="A19" s="93" t="s">
        <v>34</v>
      </c>
      <c r="B19" s="96" t="s">
        <v>7</v>
      </c>
      <c r="C19" s="247">
        <v>1</v>
      </c>
      <c r="D19" s="95"/>
      <c r="E19" s="95"/>
      <c r="F19" s="95"/>
      <c r="G19" s="95"/>
      <c r="H19" s="95"/>
    </row>
    <row r="20" spans="1:14" ht="26.25" customHeight="1" x14ac:dyDescent="0.4">
      <c r="A20" s="93" t="s">
        <v>35</v>
      </c>
      <c r="B20" s="538" t="s">
        <v>9</v>
      </c>
      <c r="C20" s="538"/>
      <c r="D20" s="95"/>
      <c r="E20" s="95"/>
      <c r="F20" s="95"/>
      <c r="G20" s="95"/>
      <c r="H20" s="95"/>
    </row>
    <row r="21" spans="1:14" ht="26.25" customHeight="1" x14ac:dyDescent="0.4">
      <c r="A21" s="93" t="s">
        <v>36</v>
      </c>
      <c r="B21" s="538" t="s">
        <v>11</v>
      </c>
      <c r="C21" s="538"/>
      <c r="D21" s="538"/>
      <c r="E21" s="538"/>
      <c r="F21" s="538"/>
      <c r="G21" s="538"/>
      <c r="H21" s="538"/>
      <c r="I21" s="97"/>
    </row>
    <row r="22" spans="1:14" ht="26.25" customHeight="1" x14ac:dyDescent="0.4">
      <c r="A22" s="93" t="s">
        <v>37</v>
      </c>
      <c r="B22" s="98" t="s">
        <v>12</v>
      </c>
      <c r="C22" s="95"/>
      <c r="D22" s="95"/>
      <c r="E22" s="95"/>
      <c r="F22" s="95"/>
      <c r="G22" s="95"/>
      <c r="H22" s="95"/>
    </row>
    <row r="23" spans="1:14" ht="26.25" customHeight="1" x14ac:dyDescent="0.4">
      <c r="A23" s="93" t="s">
        <v>38</v>
      </c>
      <c r="B23" s="98">
        <v>43222</v>
      </c>
      <c r="C23" s="95"/>
      <c r="D23" s="95"/>
      <c r="E23" s="95"/>
      <c r="F23" s="95"/>
      <c r="G23" s="95"/>
      <c r="H23" s="95"/>
    </row>
    <row r="24" spans="1:14" ht="18.75" x14ac:dyDescent="0.3">
      <c r="A24" s="93"/>
      <c r="B24" s="99"/>
    </row>
    <row r="25" spans="1:14" ht="18.75" x14ac:dyDescent="0.3">
      <c r="A25" s="100" t="s">
        <v>1</v>
      </c>
      <c r="B25" s="99"/>
    </row>
    <row r="26" spans="1:14" ht="26.25" customHeight="1" x14ac:dyDescent="0.4">
      <c r="A26" s="101" t="s">
        <v>4</v>
      </c>
      <c r="B26" s="532" t="s">
        <v>132</v>
      </c>
      <c r="C26" s="533"/>
    </row>
    <row r="27" spans="1:14" ht="26.25" customHeight="1" x14ac:dyDescent="0.4">
      <c r="A27" s="102" t="s">
        <v>48</v>
      </c>
      <c r="B27" s="539" t="s">
        <v>133</v>
      </c>
      <c r="C27" s="540"/>
    </row>
    <row r="28" spans="1:14" ht="27" customHeight="1" x14ac:dyDescent="0.4">
      <c r="A28" s="102" t="s">
        <v>6</v>
      </c>
      <c r="B28" s="103">
        <v>99.02</v>
      </c>
    </row>
    <row r="29" spans="1:14" s="12" customFormat="1" ht="27" customHeight="1" x14ac:dyDescent="0.4">
      <c r="A29" s="102" t="s">
        <v>49</v>
      </c>
      <c r="B29" s="104">
        <v>0</v>
      </c>
      <c r="C29" s="508" t="s">
        <v>50</v>
      </c>
      <c r="D29" s="509"/>
      <c r="E29" s="509"/>
      <c r="F29" s="509"/>
      <c r="G29" s="510"/>
      <c r="I29" s="105"/>
      <c r="J29" s="105"/>
      <c r="K29" s="105"/>
      <c r="L29" s="105"/>
    </row>
    <row r="30" spans="1:14" s="12" customFormat="1" ht="19.5" customHeight="1" x14ac:dyDescent="0.3">
      <c r="A30" s="102" t="s">
        <v>51</v>
      </c>
      <c r="B30" s="106">
        <f>B28-B29</f>
        <v>99.02</v>
      </c>
      <c r="C30" s="107"/>
      <c r="D30" s="107"/>
      <c r="E30" s="107"/>
      <c r="F30" s="107"/>
      <c r="G30" s="108"/>
      <c r="I30" s="105"/>
      <c r="J30" s="105"/>
      <c r="K30" s="105"/>
      <c r="L30" s="105"/>
    </row>
    <row r="31" spans="1:14" s="12" customFormat="1" ht="27" customHeight="1" x14ac:dyDescent="0.4">
      <c r="A31" s="102" t="s">
        <v>52</v>
      </c>
      <c r="B31" s="109">
        <v>1</v>
      </c>
      <c r="C31" s="511" t="s">
        <v>53</v>
      </c>
      <c r="D31" s="512"/>
      <c r="E31" s="512"/>
      <c r="F31" s="512"/>
      <c r="G31" s="512"/>
      <c r="H31" s="513"/>
      <c r="I31" s="105"/>
      <c r="J31" s="105"/>
      <c r="K31" s="105"/>
      <c r="L31" s="105"/>
    </row>
    <row r="32" spans="1:14" s="12" customFormat="1" ht="27" customHeight="1" x14ac:dyDescent="0.4">
      <c r="A32" s="102" t="s">
        <v>54</v>
      </c>
      <c r="B32" s="109">
        <v>1</v>
      </c>
      <c r="C32" s="511" t="s">
        <v>55</v>
      </c>
      <c r="D32" s="512"/>
      <c r="E32" s="512"/>
      <c r="F32" s="512"/>
      <c r="G32" s="512"/>
      <c r="H32" s="513"/>
      <c r="I32" s="105"/>
      <c r="J32" s="105"/>
      <c r="K32" s="105"/>
      <c r="L32" s="110"/>
      <c r="M32" s="110"/>
      <c r="N32" s="111"/>
    </row>
    <row r="33" spans="1:14" s="12" customFormat="1" ht="17.25" customHeight="1" x14ac:dyDescent="0.3">
      <c r="A33" s="102"/>
      <c r="B33" s="112"/>
      <c r="C33" s="113"/>
      <c r="D33" s="113"/>
      <c r="E33" s="113"/>
      <c r="F33" s="113"/>
      <c r="G33" s="113"/>
      <c r="H33" s="113"/>
      <c r="I33" s="105"/>
      <c r="J33" s="105"/>
      <c r="K33" s="105"/>
      <c r="L33" s="110"/>
      <c r="M33" s="110"/>
      <c r="N33" s="111"/>
    </row>
    <row r="34" spans="1:14" s="12" customFormat="1" ht="18.75" x14ac:dyDescent="0.3">
      <c r="A34" s="102" t="s">
        <v>56</v>
      </c>
      <c r="B34" s="114">
        <f>B31/B32</f>
        <v>1</v>
      </c>
      <c r="C34" s="92" t="s">
        <v>57</v>
      </c>
      <c r="D34" s="92"/>
      <c r="E34" s="92"/>
      <c r="F34" s="92"/>
      <c r="G34" s="92"/>
      <c r="I34" s="105"/>
      <c r="J34" s="105"/>
      <c r="K34" s="105"/>
      <c r="L34" s="110"/>
      <c r="M34" s="110"/>
      <c r="N34" s="111"/>
    </row>
    <row r="35" spans="1:14" s="12" customFormat="1" ht="19.5" customHeight="1" x14ac:dyDescent="0.3">
      <c r="A35" s="102"/>
      <c r="B35" s="106"/>
      <c r="G35" s="92"/>
      <c r="I35" s="105"/>
      <c r="J35" s="105"/>
      <c r="K35" s="105"/>
      <c r="L35" s="110"/>
      <c r="M35" s="110"/>
      <c r="N35" s="111"/>
    </row>
    <row r="36" spans="1:14" s="12" customFormat="1" ht="27" customHeight="1" x14ac:dyDescent="0.4">
      <c r="A36" s="115" t="s">
        <v>58</v>
      </c>
      <c r="B36" s="116">
        <v>100</v>
      </c>
      <c r="C36" s="92"/>
      <c r="D36" s="514" t="s">
        <v>59</v>
      </c>
      <c r="E36" s="541"/>
      <c r="F36" s="514" t="s">
        <v>60</v>
      </c>
      <c r="G36" s="515"/>
      <c r="J36" s="105"/>
      <c r="K36" s="105"/>
      <c r="L36" s="110"/>
      <c r="M36" s="110"/>
      <c r="N36" s="111"/>
    </row>
    <row r="37" spans="1:14" s="12" customFormat="1" ht="27" customHeight="1" x14ac:dyDescent="0.4">
      <c r="A37" s="117" t="s">
        <v>61</v>
      </c>
      <c r="B37" s="118">
        <v>1</v>
      </c>
      <c r="C37" s="119" t="s">
        <v>62</v>
      </c>
      <c r="D37" s="120" t="s">
        <v>63</v>
      </c>
      <c r="E37" s="121" t="s">
        <v>64</v>
      </c>
      <c r="F37" s="120" t="s">
        <v>63</v>
      </c>
      <c r="G37" s="122" t="s">
        <v>64</v>
      </c>
      <c r="I37" s="123" t="s">
        <v>65</v>
      </c>
      <c r="J37" s="105"/>
      <c r="K37" s="105"/>
      <c r="L37" s="110"/>
      <c r="M37" s="110"/>
      <c r="N37" s="111"/>
    </row>
    <row r="38" spans="1:14" s="12" customFormat="1" ht="26.25" customHeight="1" x14ac:dyDescent="0.4">
      <c r="A38" s="117" t="s">
        <v>66</v>
      </c>
      <c r="B38" s="118">
        <v>1</v>
      </c>
      <c r="C38" s="124">
        <v>1</v>
      </c>
      <c r="D38" s="475">
        <v>77963811</v>
      </c>
      <c r="E38" s="125">
        <f>IF(ISBLANK(D38),"-",$D$48/$D$45*D38)</f>
        <v>73929970.044463918</v>
      </c>
      <c r="F38" s="475">
        <v>74576972</v>
      </c>
      <c r="G38" s="126">
        <f>IF(ISBLANK(F38),"-",$D$48/$F$45*F38)</f>
        <v>73883565.502315089</v>
      </c>
      <c r="I38" s="127"/>
      <c r="J38" s="105"/>
      <c r="K38" s="105"/>
      <c r="L38" s="110"/>
      <c r="M38" s="110"/>
      <c r="N38" s="111"/>
    </row>
    <row r="39" spans="1:14" s="12" customFormat="1" ht="26.25" customHeight="1" x14ac:dyDescent="0.4">
      <c r="A39" s="117" t="s">
        <v>67</v>
      </c>
      <c r="B39" s="118">
        <v>1</v>
      </c>
      <c r="C39" s="128">
        <v>2</v>
      </c>
      <c r="D39" s="476">
        <v>78087193</v>
      </c>
      <c r="E39" s="130">
        <f>IF(ISBLANK(D39),"-",$D$48/$D$45*D39)</f>
        <v>74046968.270269305</v>
      </c>
      <c r="F39" s="476">
        <v>74306523</v>
      </c>
      <c r="G39" s="131">
        <f>IF(ISBLANK(F39),"-",$D$48/$F$45*F39)</f>
        <v>73615631.100171015</v>
      </c>
      <c r="I39" s="516">
        <f>ABS((F43/D43*D42)-F42)/D42</f>
        <v>2.1335585933618516E-3</v>
      </c>
      <c r="J39" s="105"/>
      <c r="K39" s="105"/>
      <c r="L39" s="110"/>
      <c r="M39" s="110"/>
      <c r="N39" s="111"/>
    </row>
    <row r="40" spans="1:14" ht="26.25" customHeight="1" x14ac:dyDescent="0.4">
      <c r="A40" s="117" t="s">
        <v>68</v>
      </c>
      <c r="B40" s="118">
        <v>1</v>
      </c>
      <c r="C40" s="128">
        <v>3</v>
      </c>
      <c r="D40" s="476">
        <v>77846301</v>
      </c>
      <c r="E40" s="130">
        <f>IF(ISBLANK(D40),"-",$D$48/$D$45*D40)</f>
        <v>73818540.001877561</v>
      </c>
      <c r="F40" s="476">
        <v>74494528</v>
      </c>
      <c r="G40" s="131">
        <f>IF(ISBLANK(F40),"-",$D$48/$F$45*F40)</f>
        <v>73801888.055364415</v>
      </c>
      <c r="I40" s="516"/>
      <c r="L40" s="110"/>
      <c r="M40" s="110"/>
      <c r="N40" s="132"/>
    </row>
    <row r="41" spans="1:14" ht="27" customHeight="1" x14ac:dyDescent="0.4">
      <c r="A41" s="117" t="s">
        <v>69</v>
      </c>
      <c r="B41" s="118">
        <v>1</v>
      </c>
      <c r="C41" s="133">
        <v>4</v>
      </c>
      <c r="D41" s="134"/>
      <c r="E41" s="135" t="str">
        <f>IF(ISBLANK(D41),"-",$D$48/$D$45*D41)</f>
        <v>-</v>
      </c>
      <c r="F41" s="134"/>
      <c r="G41" s="136" t="str">
        <f>IF(ISBLANK(F41),"-",$D$48/$F$45*F41)</f>
        <v>-</v>
      </c>
      <c r="I41" s="137"/>
      <c r="L41" s="110"/>
      <c r="M41" s="110"/>
      <c r="N41" s="132"/>
    </row>
    <row r="42" spans="1:14" ht="27" customHeight="1" x14ac:dyDescent="0.4">
      <c r="A42" s="117" t="s">
        <v>70</v>
      </c>
      <c r="B42" s="118">
        <v>1</v>
      </c>
      <c r="C42" s="138" t="s">
        <v>71</v>
      </c>
      <c r="D42" s="139">
        <f>AVERAGE(D38:D41)</f>
        <v>77965768.333333328</v>
      </c>
      <c r="E42" s="140">
        <f>AVERAGE(E38:E41)</f>
        <v>73931826.105536923</v>
      </c>
      <c r="F42" s="139">
        <f>AVERAGE(F38:F41)</f>
        <v>74459341</v>
      </c>
      <c r="G42" s="141">
        <f>AVERAGE(G38:G41)</f>
        <v>73767028.219283506</v>
      </c>
      <c r="H42" s="142"/>
    </row>
    <row r="43" spans="1:14" ht="26.25" customHeight="1" x14ac:dyDescent="0.4">
      <c r="A43" s="117" t="s">
        <v>72</v>
      </c>
      <c r="B43" s="118">
        <v>1</v>
      </c>
      <c r="C43" s="143" t="s">
        <v>73</v>
      </c>
      <c r="D43" s="144">
        <v>17.04</v>
      </c>
      <c r="E43" s="132"/>
      <c r="F43" s="144">
        <v>16.309999999999999</v>
      </c>
      <c r="H43" s="142"/>
    </row>
    <row r="44" spans="1:14" ht="26.25" customHeight="1" x14ac:dyDescent="0.4">
      <c r="A44" s="117" t="s">
        <v>74</v>
      </c>
      <c r="B44" s="118">
        <v>1</v>
      </c>
      <c r="C44" s="145" t="s">
        <v>75</v>
      </c>
      <c r="D44" s="146">
        <f>D43*$B$34</f>
        <v>17.04</v>
      </c>
      <c r="E44" s="147"/>
      <c r="F44" s="146">
        <f>F43*$B$34</f>
        <v>16.309999999999999</v>
      </c>
      <c r="H44" s="142"/>
    </row>
    <row r="45" spans="1:14" ht="19.5" customHeight="1" x14ac:dyDescent="0.3">
      <c r="A45" s="117" t="s">
        <v>76</v>
      </c>
      <c r="B45" s="148">
        <f>(B44/B43)*(B42/B41)*(B40/B39)*(B38/B37)*B36</f>
        <v>100</v>
      </c>
      <c r="C45" s="145" t="s">
        <v>77</v>
      </c>
      <c r="D45" s="149">
        <f>D44*$B$30/100</f>
        <v>16.873007999999999</v>
      </c>
      <c r="E45" s="150"/>
      <c r="F45" s="149">
        <f>F44*$B$30/100</f>
        <v>16.150161999999998</v>
      </c>
      <c r="H45" s="142"/>
    </row>
    <row r="46" spans="1:14" ht="19.5" customHeight="1" x14ac:dyDescent="0.3">
      <c r="A46" s="502" t="s">
        <v>78</v>
      </c>
      <c r="B46" s="503"/>
      <c r="C46" s="145" t="s">
        <v>79</v>
      </c>
      <c r="D46" s="151">
        <f>D45/$B$45</f>
        <v>0.16873007999999998</v>
      </c>
      <c r="E46" s="152"/>
      <c r="F46" s="153">
        <f>F45/$B$45</f>
        <v>0.16150161999999998</v>
      </c>
      <c r="H46" s="142"/>
    </row>
    <row r="47" spans="1:14" ht="27" customHeight="1" x14ac:dyDescent="0.4">
      <c r="A47" s="504"/>
      <c r="B47" s="505"/>
      <c r="C47" s="154" t="s">
        <v>80</v>
      </c>
      <c r="D47" s="155">
        <v>0.16</v>
      </c>
      <c r="E47" s="156"/>
      <c r="F47" s="152"/>
      <c r="H47" s="142"/>
    </row>
    <row r="48" spans="1:14" ht="18.75" x14ac:dyDescent="0.3">
      <c r="C48" s="157" t="s">
        <v>81</v>
      </c>
      <c r="D48" s="149">
        <f>D47*$B$45</f>
        <v>16</v>
      </c>
      <c r="F48" s="158"/>
      <c r="H48" s="142"/>
    </row>
    <row r="49" spans="1:12" ht="19.5" customHeight="1" x14ac:dyDescent="0.3">
      <c r="C49" s="159" t="s">
        <v>82</v>
      </c>
      <c r="D49" s="160">
        <f>D48/B34</f>
        <v>16</v>
      </c>
      <c r="F49" s="158"/>
      <c r="H49" s="142"/>
    </row>
    <row r="50" spans="1:12" ht="18.75" x14ac:dyDescent="0.3">
      <c r="C50" s="115" t="s">
        <v>83</v>
      </c>
      <c r="D50" s="161">
        <f>AVERAGE(E38:E41,G38:G41)</f>
        <v>73849427.162410215</v>
      </c>
      <c r="F50" s="162"/>
      <c r="H50" s="142"/>
    </row>
    <row r="51" spans="1:12" ht="18.75" x14ac:dyDescent="0.3">
      <c r="C51" s="117" t="s">
        <v>84</v>
      </c>
      <c r="D51" s="163">
        <f>STDEV(E38:E41,G38:G41)/D50</f>
        <v>1.9580742934397427E-3</v>
      </c>
      <c r="F51" s="162"/>
      <c r="H51" s="142"/>
    </row>
    <row r="52" spans="1:12" ht="19.5" customHeight="1" x14ac:dyDescent="0.3">
      <c r="C52" s="164" t="s">
        <v>20</v>
      </c>
      <c r="D52" s="165">
        <f>COUNT(E38:E41,G38:G41)</f>
        <v>6</v>
      </c>
      <c r="F52" s="162"/>
    </row>
    <row r="54" spans="1:12" ht="18.75" x14ac:dyDescent="0.3">
      <c r="A54" s="166" t="s">
        <v>1</v>
      </c>
      <c r="B54" s="167" t="s">
        <v>85</v>
      </c>
    </row>
    <row r="55" spans="1:12" ht="18.75" x14ac:dyDescent="0.3">
      <c r="A55" s="92" t="s">
        <v>86</v>
      </c>
      <c r="B55" s="168" t="str">
        <f>B21</f>
        <v>Each tablet contain Sulphamethoxazole B.P 800 mg and Trimethoprim B.P 160 mg.</v>
      </c>
    </row>
    <row r="56" spans="1:12" ht="26.25" customHeight="1" x14ac:dyDescent="0.4">
      <c r="A56" s="169" t="s">
        <v>87</v>
      </c>
      <c r="B56" s="170">
        <v>800</v>
      </c>
      <c r="C56" s="92" t="str">
        <f>B20</f>
        <v>Sulphamethoxazole 800 mg, Trimethoprim 160 mg</v>
      </c>
      <c r="H56" s="171"/>
    </row>
    <row r="57" spans="1:12" ht="18.75" x14ac:dyDescent="0.3">
      <c r="A57" s="168" t="s">
        <v>88</v>
      </c>
      <c r="B57" s="239">
        <f>Uniformity!C46</f>
        <v>1044.5739999999998</v>
      </c>
      <c r="H57" s="171"/>
    </row>
    <row r="58" spans="1:12" ht="19.5" customHeight="1" x14ac:dyDescent="0.3">
      <c r="H58" s="171"/>
    </row>
    <row r="59" spans="1:12" s="12" customFormat="1" ht="27" customHeight="1" x14ac:dyDescent="0.4">
      <c r="A59" s="115" t="s">
        <v>89</v>
      </c>
      <c r="B59" s="116">
        <v>100</v>
      </c>
      <c r="C59" s="92"/>
      <c r="D59" s="172" t="s">
        <v>90</v>
      </c>
      <c r="E59" s="173" t="s">
        <v>62</v>
      </c>
      <c r="F59" s="173" t="s">
        <v>63</v>
      </c>
      <c r="G59" s="173" t="s">
        <v>91</v>
      </c>
      <c r="H59" s="119" t="s">
        <v>92</v>
      </c>
      <c r="L59" s="105"/>
    </row>
    <row r="60" spans="1:12" s="12" customFormat="1" ht="26.25" customHeight="1" x14ac:dyDescent="0.4">
      <c r="A60" s="117" t="s">
        <v>93</v>
      </c>
      <c r="B60" s="118">
        <v>2</v>
      </c>
      <c r="C60" s="519" t="s">
        <v>94</v>
      </c>
      <c r="D60" s="522">
        <v>1044.76</v>
      </c>
      <c r="E60" s="174">
        <v>1</v>
      </c>
      <c r="F60" s="175">
        <v>75894545</v>
      </c>
      <c r="G60" s="240">
        <f>IF(ISBLANK(F60),"-",(F60/$D$50*$D$47*$B$68)*($B$57/$D$60))</f>
        <v>822.00809197592309</v>
      </c>
      <c r="H60" s="258">
        <f t="shared" ref="H60:H71" si="0">IF(ISBLANK(F60),"-",(G60/$B$56)*100)</f>
        <v>102.7510114969904</v>
      </c>
      <c r="L60" s="105"/>
    </row>
    <row r="61" spans="1:12" s="12" customFormat="1" ht="26.25" customHeight="1" x14ac:dyDescent="0.4">
      <c r="A61" s="117" t="s">
        <v>95</v>
      </c>
      <c r="B61" s="118">
        <v>100</v>
      </c>
      <c r="C61" s="520"/>
      <c r="D61" s="523"/>
      <c r="E61" s="176">
        <v>2</v>
      </c>
      <c r="F61" s="129">
        <v>75773774</v>
      </c>
      <c r="G61" s="241">
        <f>IF(ISBLANK(F61),"-",(F61/$D$50*$D$47*$B$68)*($B$57/$D$60))</f>
        <v>820.70003038498737</v>
      </c>
      <c r="H61" s="259">
        <f t="shared" si="0"/>
        <v>102.58750379812342</v>
      </c>
      <c r="L61" s="105"/>
    </row>
    <row r="62" spans="1:12" s="12" customFormat="1" ht="26.25" customHeight="1" x14ac:dyDescent="0.4">
      <c r="A62" s="117" t="s">
        <v>96</v>
      </c>
      <c r="B62" s="118">
        <v>1</v>
      </c>
      <c r="C62" s="520"/>
      <c r="D62" s="523"/>
      <c r="E62" s="176">
        <v>3</v>
      </c>
      <c r="F62" s="177">
        <v>75437586</v>
      </c>
      <c r="G62" s="241">
        <f>IF(ISBLANK(F62),"-",(F62/$D$50*$D$47*$B$68)*($B$57/$D$60))</f>
        <v>817.05880351650558</v>
      </c>
      <c r="H62" s="259">
        <f t="shared" si="0"/>
        <v>102.1323504395632</v>
      </c>
      <c r="L62" s="105"/>
    </row>
    <row r="63" spans="1:12" ht="27" customHeight="1" x14ac:dyDescent="0.4">
      <c r="A63" s="117" t="s">
        <v>97</v>
      </c>
      <c r="B63" s="118">
        <v>1</v>
      </c>
      <c r="C63" s="529"/>
      <c r="D63" s="524"/>
      <c r="E63" s="178">
        <v>4</v>
      </c>
      <c r="F63" s="179"/>
      <c r="G63" s="241" t="str">
        <f>IF(ISBLANK(F63),"-",(F63/$D$50*$D$47*$B$68)*($B$57/$D$60))</f>
        <v>-</v>
      </c>
      <c r="H63" s="259" t="str">
        <f t="shared" si="0"/>
        <v>-</v>
      </c>
    </row>
    <row r="64" spans="1:12" ht="26.25" customHeight="1" x14ac:dyDescent="0.4">
      <c r="A64" s="117" t="s">
        <v>98</v>
      </c>
      <c r="B64" s="118">
        <v>1</v>
      </c>
      <c r="C64" s="519" t="s">
        <v>99</v>
      </c>
      <c r="D64" s="522">
        <v>1045.8699999999999</v>
      </c>
      <c r="E64" s="174">
        <v>1</v>
      </c>
      <c r="F64" s="175">
        <v>76297470</v>
      </c>
      <c r="G64" s="240">
        <f>IF(ISBLANK(F64),"-",(F64/$D$50*$D$47*$B$68)*($B$57/$D$64))</f>
        <v>825.49509914683267</v>
      </c>
      <c r="H64" s="258">
        <f t="shared" si="0"/>
        <v>103.18688739335408</v>
      </c>
    </row>
    <row r="65" spans="1:8" ht="26.25" customHeight="1" x14ac:dyDescent="0.4">
      <c r="A65" s="117" t="s">
        <v>100</v>
      </c>
      <c r="B65" s="118">
        <v>1</v>
      </c>
      <c r="C65" s="520"/>
      <c r="D65" s="523"/>
      <c r="E65" s="176">
        <v>2</v>
      </c>
      <c r="F65" s="129">
        <v>76146014</v>
      </c>
      <c r="G65" s="241">
        <f>IF(ISBLANK(F65),"-",(F65/$D$50*$D$47*$B$68)*($B$57/$D$64))</f>
        <v>823.85643162959525</v>
      </c>
      <c r="H65" s="259">
        <f t="shared" si="0"/>
        <v>102.98205395369942</v>
      </c>
    </row>
    <row r="66" spans="1:8" ht="26.25" customHeight="1" x14ac:dyDescent="0.4">
      <c r="A66" s="117" t="s">
        <v>101</v>
      </c>
      <c r="B66" s="118">
        <v>1</v>
      </c>
      <c r="C66" s="520"/>
      <c r="D66" s="523"/>
      <c r="E66" s="176">
        <v>3</v>
      </c>
      <c r="F66" s="129">
        <v>76062361</v>
      </c>
      <c r="G66" s="241">
        <f>IF(ISBLANK(F66),"-",(F66/$D$50*$D$47*$B$68)*($B$57/$D$64))</f>
        <v>822.95135389203824</v>
      </c>
      <c r="H66" s="259">
        <f t="shared" si="0"/>
        <v>102.86891923650478</v>
      </c>
    </row>
    <row r="67" spans="1:8" ht="27" customHeight="1" x14ac:dyDescent="0.4">
      <c r="A67" s="117" t="s">
        <v>102</v>
      </c>
      <c r="B67" s="118">
        <v>1</v>
      </c>
      <c r="C67" s="529"/>
      <c r="D67" s="524"/>
      <c r="E67" s="178">
        <v>4</v>
      </c>
      <c r="F67" s="179"/>
      <c r="G67" s="257" t="str">
        <f>IF(ISBLANK(F67),"-",(F67/$D$50*$D$47*$B$68)*($B$57/$D$64))</f>
        <v>-</v>
      </c>
      <c r="H67" s="260" t="str">
        <f t="shared" si="0"/>
        <v>-</v>
      </c>
    </row>
    <row r="68" spans="1:8" ht="26.25" customHeight="1" x14ac:dyDescent="0.4">
      <c r="A68" s="117" t="s">
        <v>103</v>
      </c>
      <c r="B68" s="180">
        <f>(B67/B66)*(B65/B64)*(B63/B62)*(B61/B60)*B59</f>
        <v>5000</v>
      </c>
      <c r="C68" s="519" t="s">
        <v>104</v>
      </c>
      <c r="D68" s="522">
        <v>1043.9100000000001</v>
      </c>
      <c r="E68" s="174">
        <v>1</v>
      </c>
      <c r="F68" s="175">
        <v>76101380</v>
      </c>
      <c r="G68" s="240">
        <f>IF(ISBLANK(F68),"-",(F68/$D$50*$D$47*$B$68)*($B$57/$D$68))</f>
        <v>824.91944750694654</v>
      </c>
      <c r="H68" s="259">
        <f t="shared" si="0"/>
        <v>103.11493093836832</v>
      </c>
    </row>
    <row r="69" spans="1:8" ht="27" customHeight="1" x14ac:dyDescent="0.4">
      <c r="A69" s="164" t="s">
        <v>105</v>
      </c>
      <c r="B69" s="181">
        <f>(D47*B68)/B56*B57</f>
        <v>1044.5739999999998</v>
      </c>
      <c r="C69" s="520"/>
      <c r="D69" s="523"/>
      <c r="E69" s="176">
        <v>2</v>
      </c>
      <c r="F69" s="129">
        <v>75892351</v>
      </c>
      <c r="G69" s="241">
        <f>IF(ISBLANK(F69),"-",(F69/$D$50*$D$47*$B$68)*($B$57/$D$68))</f>
        <v>822.65362674005735</v>
      </c>
      <c r="H69" s="259">
        <f t="shared" si="0"/>
        <v>102.83170334250717</v>
      </c>
    </row>
    <row r="70" spans="1:8" ht="26.25" customHeight="1" x14ac:dyDescent="0.4">
      <c r="A70" s="525" t="s">
        <v>78</v>
      </c>
      <c r="B70" s="526"/>
      <c r="C70" s="520"/>
      <c r="D70" s="523"/>
      <c r="E70" s="176">
        <v>3</v>
      </c>
      <c r="F70" s="129">
        <v>76004477</v>
      </c>
      <c r="G70" s="241">
        <f>IF(ISBLANK(F70),"-",(F70/$D$50*$D$47*$B$68)*($B$57/$D$68))</f>
        <v>823.86904383198339</v>
      </c>
      <c r="H70" s="259">
        <f t="shared" si="0"/>
        <v>102.98363047899792</v>
      </c>
    </row>
    <row r="71" spans="1:8" ht="27" customHeight="1" x14ac:dyDescent="0.4">
      <c r="A71" s="527"/>
      <c r="B71" s="528"/>
      <c r="C71" s="521"/>
      <c r="D71" s="524"/>
      <c r="E71" s="178">
        <v>4</v>
      </c>
      <c r="F71" s="179"/>
      <c r="G71" s="257" t="str">
        <f>IF(ISBLANK(F71),"-",(F71/$D$50*$D$47*$B$68)*($B$57/$D$68))</f>
        <v>-</v>
      </c>
      <c r="H71" s="260" t="str">
        <f t="shared" si="0"/>
        <v>-</v>
      </c>
    </row>
    <row r="72" spans="1:8" ht="26.25" customHeight="1" x14ac:dyDescent="0.4">
      <c r="A72" s="182"/>
      <c r="B72" s="182"/>
      <c r="C72" s="182"/>
      <c r="D72" s="182"/>
      <c r="E72" s="182"/>
      <c r="F72" s="184" t="s">
        <v>71</v>
      </c>
      <c r="G72" s="246">
        <f>AVERAGE(G60:G71)</f>
        <v>822.6124365138744</v>
      </c>
      <c r="H72" s="261">
        <f>AVERAGE(H60:H71)</f>
        <v>102.8265545642343</v>
      </c>
    </row>
    <row r="73" spans="1:8" ht="26.25" customHeight="1" x14ac:dyDescent="0.4">
      <c r="C73" s="182"/>
      <c r="D73" s="182"/>
      <c r="E73" s="182"/>
      <c r="F73" s="185" t="s">
        <v>84</v>
      </c>
      <c r="G73" s="245">
        <f>STDEV(G60:G71)/G72</f>
        <v>3.0915430459077702E-3</v>
      </c>
      <c r="H73" s="245">
        <f>STDEV(H60:H71)/H72</f>
        <v>3.0915430459077745E-3</v>
      </c>
    </row>
    <row r="74" spans="1:8" ht="27" customHeight="1" x14ac:dyDescent="0.4">
      <c r="A74" s="182"/>
      <c r="B74" s="182"/>
      <c r="C74" s="183"/>
      <c r="D74" s="183"/>
      <c r="E74" s="186"/>
      <c r="F74" s="187" t="s">
        <v>20</v>
      </c>
      <c r="G74" s="188">
        <f>COUNT(G60:G71)</f>
        <v>9</v>
      </c>
      <c r="H74" s="188">
        <f>COUNT(H60:H71)</f>
        <v>9</v>
      </c>
    </row>
    <row r="76" spans="1:8" ht="26.25" customHeight="1" x14ac:dyDescent="0.4">
      <c r="A76" s="101" t="s">
        <v>106</v>
      </c>
      <c r="B76" s="189" t="s">
        <v>107</v>
      </c>
      <c r="C76" s="506" t="str">
        <f>B26</f>
        <v>SULFAMETHOXAZOLE</v>
      </c>
      <c r="D76" s="506"/>
      <c r="E76" s="190" t="s">
        <v>108</v>
      </c>
      <c r="F76" s="190"/>
      <c r="G76" s="277">
        <f>H72</f>
        <v>102.8265545642343</v>
      </c>
      <c r="H76" s="192"/>
    </row>
    <row r="77" spans="1:8" ht="18.75" x14ac:dyDescent="0.3">
      <c r="A77" s="100" t="s">
        <v>109</v>
      </c>
      <c r="B77" s="100" t="s">
        <v>110</v>
      </c>
    </row>
    <row r="78" spans="1:8" ht="18.75" x14ac:dyDescent="0.3">
      <c r="A78" s="100"/>
      <c r="B78" s="100"/>
    </row>
    <row r="79" spans="1:8" ht="26.25" customHeight="1" x14ac:dyDescent="0.4">
      <c r="A79" s="101" t="s">
        <v>4</v>
      </c>
      <c r="B79" s="542" t="str">
        <f>B26</f>
        <v>SULFAMETHOXAZOLE</v>
      </c>
      <c r="C79" s="542"/>
    </row>
    <row r="80" spans="1:8" ht="26.25" customHeight="1" x14ac:dyDescent="0.4">
      <c r="A80" s="102" t="s">
        <v>48</v>
      </c>
      <c r="B80" s="542" t="str">
        <f>B27</f>
        <v>S12-6</v>
      </c>
      <c r="C80" s="542"/>
    </row>
    <row r="81" spans="1:12" ht="27" customHeight="1" x14ac:dyDescent="0.4">
      <c r="A81" s="102" t="s">
        <v>6</v>
      </c>
      <c r="B81" s="193">
        <f>B28</f>
        <v>99.02</v>
      </c>
    </row>
    <row r="82" spans="1:12" s="12" customFormat="1" ht="27" customHeight="1" x14ac:dyDescent="0.4">
      <c r="A82" s="102" t="s">
        <v>49</v>
      </c>
      <c r="B82" s="104">
        <v>0</v>
      </c>
      <c r="C82" s="508" t="s">
        <v>50</v>
      </c>
      <c r="D82" s="509"/>
      <c r="E82" s="509"/>
      <c r="F82" s="509"/>
      <c r="G82" s="510"/>
      <c r="I82" s="105"/>
      <c r="J82" s="105"/>
      <c r="K82" s="105"/>
      <c r="L82" s="105"/>
    </row>
    <row r="83" spans="1:12" s="12" customFormat="1" ht="19.5" customHeight="1" x14ac:dyDescent="0.3">
      <c r="A83" s="102" t="s">
        <v>51</v>
      </c>
      <c r="B83" s="106">
        <f>B81-B82</f>
        <v>99.02</v>
      </c>
      <c r="C83" s="107"/>
      <c r="D83" s="107"/>
      <c r="E83" s="107"/>
      <c r="F83" s="107"/>
      <c r="G83" s="108"/>
      <c r="I83" s="105"/>
      <c r="J83" s="105"/>
      <c r="K83" s="105"/>
      <c r="L83" s="105"/>
    </row>
    <row r="84" spans="1:12" s="12" customFormat="1" ht="27" customHeight="1" x14ac:dyDescent="0.4">
      <c r="A84" s="102" t="s">
        <v>52</v>
      </c>
      <c r="B84" s="109">
        <v>1</v>
      </c>
      <c r="C84" s="511" t="s">
        <v>111</v>
      </c>
      <c r="D84" s="512"/>
      <c r="E84" s="512"/>
      <c r="F84" s="512"/>
      <c r="G84" s="512"/>
      <c r="H84" s="513"/>
      <c r="I84" s="105"/>
      <c r="J84" s="105"/>
      <c r="K84" s="105"/>
      <c r="L84" s="105"/>
    </row>
    <row r="85" spans="1:12" s="12" customFormat="1" ht="27" customHeight="1" x14ac:dyDescent="0.4">
      <c r="A85" s="102" t="s">
        <v>54</v>
      </c>
      <c r="B85" s="109">
        <v>1</v>
      </c>
      <c r="C85" s="511" t="s">
        <v>112</v>
      </c>
      <c r="D85" s="512"/>
      <c r="E85" s="512"/>
      <c r="F85" s="512"/>
      <c r="G85" s="512"/>
      <c r="H85" s="513"/>
      <c r="I85" s="105"/>
      <c r="J85" s="105"/>
      <c r="K85" s="105"/>
      <c r="L85" s="105"/>
    </row>
    <row r="86" spans="1:12" s="12" customFormat="1" ht="18.75" x14ac:dyDescent="0.3">
      <c r="A86" s="102"/>
      <c r="B86" s="112"/>
      <c r="C86" s="113"/>
      <c r="D86" s="113"/>
      <c r="E86" s="113"/>
      <c r="F86" s="113"/>
      <c r="G86" s="113"/>
      <c r="H86" s="113"/>
      <c r="I86" s="105"/>
      <c r="J86" s="105"/>
      <c r="K86" s="105"/>
      <c r="L86" s="105"/>
    </row>
    <row r="87" spans="1:12" s="12" customFormat="1" ht="18.75" x14ac:dyDescent="0.3">
      <c r="A87" s="102" t="s">
        <v>56</v>
      </c>
      <c r="B87" s="114">
        <f>B84/B85</f>
        <v>1</v>
      </c>
      <c r="C87" s="92" t="s">
        <v>57</v>
      </c>
      <c r="D87" s="92"/>
      <c r="E87" s="92"/>
      <c r="F87" s="92"/>
      <c r="G87" s="92"/>
      <c r="I87" s="105"/>
      <c r="J87" s="105"/>
      <c r="K87" s="105"/>
      <c r="L87" s="105"/>
    </row>
    <row r="88" spans="1:12" ht="19.5" customHeight="1" x14ac:dyDescent="0.3">
      <c r="A88" s="100"/>
      <c r="B88" s="100"/>
    </row>
    <row r="89" spans="1:12" ht="27" customHeight="1" x14ac:dyDescent="0.4">
      <c r="A89" s="115" t="s">
        <v>58</v>
      </c>
      <c r="B89" s="116">
        <v>100</v>
      </c>
      <c r="D89" s="194" t="s">
        <v>59</v>
      </c>
      <c r="E89" s="195"/>
      <c r="F89" s="514" t="s">
        <v>60</v>
      </c>
      <c r="G89" s="515"/>
    </row>
    <row r="90" spans="1:12" ht="27" customHeight="1" x14ac:dyDescent="0.4">
      <c r="A90" s="117" t="s">
        <v>61</v>
      </c>
      <c r="B90" s="118">
        <v>1</v>
      </c>
      <c r="C90" s="196" t="s">
        <v>62</v>
      </c>
      <c r="D90" s="120" t="s">
        <v>63</v>
      </c>
      <c r="E90" s="121" t="s">
        <v>64</v>
      </c>
      <c r="F90" s="120" t="s">
        <v>63</v>
      </c>
      <c r="G90" s="197" t="s">
        <v>64</v>
      </c>
      <c r="I90" s="123" t="s">
        <v>65</v>
      </c>
    </row>
    <row r="91" spans="1:12" ht="26.25" customHeight="1" x14ac:dyDescent="0.4">
      <c r="A91" s="117" t="s">
        <v>66</v>
      </c>
      <c r="B91" s="118">
        <v>1</v>
      </c>
      <c r="C91" s="198">
        <v>1</v>
      </c>
      <c r="D91" s="475">
        <v>41388201</v>
      </c>
      <c r="E91" s="125">
        <f>IF(ISBLANK(D91),"-",$D$101/$D$98*D91)</f>
        <v>46210966.978880599</v>
      </c>
      <c r="F91" s="475">
        <v>38727096</v>
      </c>
      <c r="G91" s="126">
        <f>IF(ISBLANK(F91),"-",$D$101/$F$98*F91)</f>
        <v>45924412.389812939</v>
      </c>
      <c r="I91" s="127"/>
    </row>
    <row r="92" spans="1:12" ht="26.25" customHeight="1" x14ac:dyDescent="0.4">
      <c r="A92" s="117" t="s">
        <v>67</v>
      </c>
      <c r="B92" s="118">
        <v>1</v>
      </c>
      <c r="C92" s="183">
        <v>2</v>
      </c>
      <c r="D92" s="476">
        <v>41636646</v>
      </c>
      <c r="E92" s="130">
        <f>IF(ISBLANK(D92),"-",$D$101/$D$98*D92)</f>
        <v>46488362.067666121</v>
      </c>
      <c r="F92" s="476">
        <v>38859743</v>
      </c>
      <c r="G92" s="131">
        <f>IF(ISBLANK(F92),"-",$D$101/$F$98*F92)</f>
        <v>46081711.442917041</v>
      </c>
      <c r="I92" s="516">
        <f>ABS((F96/D96*D95)-F95)/D95</f>
        <v>8.46140896536547E-3</v>
      </c>
    </row>
    <row r="93" spans="1:12" ht="26.25" customHeight="1" x14ac:dyDescent="0.4">
      <c r="A93" s="117" t="s">
        <v>68</v>
      </c>
      <c r="B93" s="118">
        <v>1</v>
      </c>
      <c r="C93" s="183">
        <v>3</v>
      </c>
      <c r="D93" s="476">
        <v>41470304</v>
      </c>
      <c r="E93" s="130">
        <f>IF(ISBLANK(D93),"-",$D$101/$D$98*D93)</f>
        <v>46302637.042575009</v>
      </c>
      <c r="F93" s="476">
        <v>38577206</v>
      </c>
      <c r="G93" s="131">
        <f>IF(ISBLANK(F93),"-",$D$101/$F$98*F93)</f>
        <v>45746665.776095532</v>
      </c>
      <c r="I93" s="516"/>
    </row>
    <row r="94" spans="1:12" ht="27" customHeight="1" x14ac:dyDescent="0.4">
      <c r="A94" s="117" t="s">
        <v>69</v>
      </c>
      <c r="B94" s="118">
        <v>1</v>
      </c>
      <c r="C94" s="199">
        <v>4</v>
      </c>
      <c r="D94" s="134"/>
      <c r="E94" s="135" t="str">
        <f>IF(ISBLANK(D94),"-",$D$101/$D$98*D94)</f>
        <v>-</v>
      </c>
      <c r="F94" s="200"/>
      <c r="G94" s="136" t="str">
        <f>IF(ISBLANK(F94),"-",$D$101/$F$98*F94)</f>
        <v>-</v>
      </c>
      <c r="I94" s="137"/>
    </row>
    <row r="95" spans="1:12" ht="27" customHeight="1" x14ac:dyDescent="0.4">
      <c r="A95" s="117" t="s">
        <v>70</v>
      </c>
      <c r="B95" s="118">
        <v>1</v>
      </c>
      <c r="C95" s="201" t="s">
        <v>71</v>
      </c>
      <c r="D95" s="202">
        <f>AVERAGE(D91:D94)</f>
        <v>41498383.666666664</v>
      </c>
      <c r="E95" s="140">
        <f>AVERAGE(E91:E94)</f>
        <v>46333988.69637391</v>
      </c>
      <c r="F95" s="203">
        <f>AVERAGE(F91:F94)</f>
        <v>38721348.333333336</v>
      </c>
      <c r="G95" s="204">
        <f>AVERAGE(G91:G94)</f>
        <v>45917596.536275171</v>
      </c>
    </row>
    <row r="96" spans="1:12" ht="26.25" customHeight="1" x14ac:dyDescent="0.4">
      <c r="A96" s="117" t="s">
        <v>72</v>
      </c>
      <c r="B96" s="103">
        <v>1</v>
      </c>
      <c r="C96" s="205" t="s">
        <v>113</v>
      </c>
      <c r="D96" s="206">
        <v>16.079999999999998</v>
      </c>
      <c r="E96" s="132"/>
      <c r="F96" s="144">
        <v>15.14</v>
      </c>
    </row>
    <row r="97" spans="1:10" ht="26.25" customHeight="1" x14ac:dyDescent="0.4">
      <c r="A97" s="117" t="s">
        <v>74</v>
      </c>
      <c r="B97" s="103">
        <v>1</v>
      </c>
      <c r="C97" s="207" t="s">
        <v>114</v>
      </c>
      <c r="D97" s="208">
        <f>D96*$B$87</f>
        <v>16.079999999999998</v>
      </c>
      <c r="E97" s="147"/>
      <c r="F97" s="146">
        <f>F96*$B$87</f>
        <v>15.14</v>
      </c>
    </row>
    <row r="98" spans="1:10" ht="19.5" customHeight="1" x14ac:dyDescent="0.3">
      <c r="A98" s="117" t="s">
        <v>76</v>
      </c>
      <c r="B98" s="209">
        <f>(B97/B96)*(B95/B94)*(B93/B92)*(B91/B90)*B89</f>
        <v>100</v>
      </c>
      <c r="C98" s="207" t="s">
        <v>115</v>
      </c>
      <c r="D98" s="210">
        <f>D97*$B$83/100</f>
        <v>15.922415999999998</v>
      </c>
      <c r="E98" s="150"/>
      <c r="F98" s="149">
        <f>F97*$B$83/100</f>
        <v>14.991628</v>
      </c>
    </row>
    <row r="99" spans="1:10" ht="19.5" customHeight="1" x14ac:dyDescent="0.3">
      <c r="A99" s="502" t="s">
        <v>78</v>
      </c>
      <c r="B99" s="517"/>
      <c r="C99" s="207" t="s">
        <v>116</v>
      </c>
      <c r="D99" s="211">
        <f>D98/$B$98</f>
        <v>0.15922415999999998</v>
      </c>
      <c r="E99" s="150"/>
      <c r="F99" s="153">
        <f>F98/$B$98</f>
        <v>0.14991628000000001</v>
      </c>
      <c r="G99" s="212"/>
      <c r="H99" s="142"/>
    </row>
    <row r="100" spans="1:10" ht="19.5" customHeight="1" x14ac:dyDescent="0.3">
      <c r="A100" s="504"/>
      <c r="B100" s="518"/>
      <c r="C100" s="207" t="s">
        <v>80</v>
      </c>
      <c r="D100" s="213">
        <f>$B$56/$B$116</f>
        <v>0.17777777777777778</v>
      </c>
      <c r="F100" s="158"/>
      <c r="G100" s="214"/>
      <c r="H100" s="142"/>
    </row>
    <row r="101" spans="1:10" ht="18.75" x14ac:dyDescent="0.3">
      <c r="C101" s="207" t="s">
        <v>81</v>
      </c>
      <c r="D101" s="208">
        <f>D100*$B$98</f>
        <v>17.777777777777779</v>
      </c>
      <c r="F101" s="158"/>
      <c r="G101" s="212"/>
      <c r="H101" s="142"/>
    </row>
    <row r="102" spans="1:10" ht="19.5" customHeight="1" x14ac:dyDescent="0.3">
      <c r="C102" s="215" t="s">
        <v>82</v>
      </c>
      <c r="D102" s="216">
        <f>D101/B34</f>
        <v>17.777777777777779</v>
      </c>
      <c r="F102" s="162"/>
      <c r="G102" s="212"/>
      <c r="H102" s="142"/>
      <c r="J102" s="217"/>
    </row>
    <row r="103" spans="1:10" ht="18.75" x14ac:dyDescent="0.3">
      <c r="C103" s="218" t="s">
        <v>117</v>
      </c>
      <c r="D103" s="219">
        <f>AVERAGE(E91:E94,G91:G94)</f>
        <v>46125792.616324544</v>
      </c>
      <c r="F103" s="162"/>
      <c r="G103" s="220"/>
      <c r="H103" s="142"/>
      <c r="J103" s="221"/>
    </row>
    <row r="104" spans="1:10" ht="18.75" x14ac:dyDescent="0.3">
      <c r="C104" s="185" t="s">
        <v>84</v>
      </c>
      <c r="D104" s="222">
        <f>STDEV(E91:E94,G91:G94)/D103</f>
        <v>5.7866874105902957E-3</v>
      </c>
      <c r="F104" s="162"/>
      <c r="G104" s="212"/>
      <c r="H104" s="142"/>
      <c r="J104" s="221"/>
    </row>
    <row r="105" spans="1:10" ht="19.5" customHeight="1" x14ac:dyDescent="0.3">
      <c r="C105" s="187" t="s">
        <v>20</v>
      </c>
      <c r="D105" s="223">
        <f>COUNT(E91:E94,G91:G94)</f>
        <v>6</v>
      </c>
      <c r="F105" s="162"/>
      <c r="G105" s="212"/>
      <c r="H105" s="142"/>
      <c r="J105" s="221"/>
    </row>
    <row r="106" spans="1:10" ht="19.5" customHeight="1" x14ac:dyDescent="0.3">
      <c r="A106" s="166"/>
      <c r="B106" s="166"/>
      <c r="C106" s="166"/>
      <c r="D106" s="166"/>
      <c r="E106" s="166"/>
    </row>
    <row r="107" spans="1:10" ht="27" customHeight="1" x14ac:dyDescent="0.4">
      <c r="A107" s="115" t="s">
        <v>118</v>
      </c>
      <c r="B107" s="116">
        <v>900</v>
      </c>
      <c r="C107" s="262" t="s">
        <v>119</v>
      </c>
      <c r="D107" s="262" t="s">
        <v>63</v>
      </c>
      <c r="E107" s="262" t="s">
        <v>120</v>
      </c>
      <c r="F107" s="224" t="s">
        <v>121</v>
      </c>
    </row>
    <row r="108" spans="1:10" ht="26.25" customHeight="1" x14ac:dyDescent="0.4">
      <c r="A108" s="117" t="s">
        <v>122</v>
      </c>
      <c r="B108" s="118">
        <v>10</v>
      </c>
      <c r="C108" s="267">
        <v>1</v>
      </c>
      <c r="D108" s="268">
        <v>45194641</v>
      </c>
      <c r="E108" s="242">
        <f t="shared" ref="E108:E113" si="1">IF(ISBLANK(D108),"-",D108/$D$103*$D$100*$B$116)</f>
        <v>783.85022238520855</v>
      </c>
      <c r="F108" s="269">
        <f t="shared" ref="F108:F113" si="2">IF(ISBLANK(D108), "-", (E108/$B$56)*100)</f>
        <v>97.981277798151069</v>
      </c>
    </row>
    <row r="109" spans="1:10" ht="26.25" customHeight="1" x14ac:dyDescent="0.4">
      <c r="A109" s="117" t="s">
        <v>95</v>
      </c>
      <c r="B109" s="118">
        <v>50</v>
      </c>
      <c r="C109" s="263">
        <v>2</v>
      </c>
      <c r="D109" s="265">
        <v>45232412</v>
      </c>
      <c r="E109" s="243">
        <f t="shared" si="1"/>
        <v>784.50531790305342</v>
      </c>
      <c r="F109" s="270">
        <f t="shared" si="2"/>
        <v>98.063164737881678</v>
      </c>
    </row>
    <row r="110" spans="1:10" ht="26.25" customHeight="1" x14ac:dyDescent="0.4">
      <c r="A110" s="117" t="s">
        <v>96</v>
      </c>
      <c r="B110" s="118">
        <v>1</v>
      </c>
      <c r="C110" s="263">
        <v>3</v>
      </c>
      <c r="D110" s="265">
        <v>45641582</v>
      </c>
      <c r="E110" s="243">
        <f t="shared" si="1"/>
        <v>791.6019114016799</v>
      </c>
      <c r="F110" s="270">
        <f t="shared" si="2"/>
        <v>98.950238925209987</v>
      </c>
    </row>
    <row r="111" spans="1:10" ht="26.25" customHeight="1" x14ac:dyDescent="0.4">
      <c r="A111" s="117" t="s">
        <v>97</v>
      </c>
      <c r="B111" s="118">
        <v>1</v>
      </c>
      <c r="C111" s="263">
        <v>4</v>
      </c>
      <c r="D111" s="265">
        <v>45369120</v>
      </c>
      <c r="E111" s="243">
        <f t="shared" si="1"/>
        <v>786.87636442164035</v>
      </c>
      <c r="F111" s="270">
        <f t="shared" si="2"/>
        <v>98.359545552705043</v>
      </c>
    </row>
    <row r="112" spans="1:10" ht="26.25" customHeight="1" x14ac:dyDescent="0.4">
      <c r="A112" s="117" t="s">
        <v>98</v>
      </c>
      <c r="B112" s="118">
        <v>1</v>
      </c>
      <c r="C112" s="263">
        <v>5</v>
      </c>
      <c r="D112" s="265">
        <v>44676486</v>
      </c>
      <c r="E112" s="243">
        <f t="shared" si="1"/>
        <v>774.86340662579119</v>
      </c>
      <c r="F112" s="270">
        <f t="shared" si="2"/>
        <v>96.857925828223898</v>
      </c>
    </row>
    <row r="113" spans="1:10" ht="27" customHeight="1" x14ac:dyDescent="0.4">
      <c r="A113" s="117" t="s">
        <v>100</v>
      </c>
      <c r="B113" s="118">
        <v>1</v>
      </c>
      <c r="C113" s="264">
        <v>6</v>
      </c>
      <c r="D113" s="266">
        <v>44909654</v>
      </c>
      <c r="E113" s="244">
        <f t="shared" si="1"/>
        <v>778.9074433657471</v>
      </c>
      <c r="F113" s="271">
        <f t="shared" si="2"/>
        <v>97.363430420718387</v>
      </c>
    </row>
    <row r="114" spans="1:10" ht="27" customHeight="1" x14ac:dyDescent="0.4">
      <c r="A114" s="117" t="s">
        <v>101</v>
      </c>
      <c r="B114" s="118">
        <v>1</v>
      </c>
      <c r="C114" s="225"/>
      <c r="D114" s="183"/>
      <c r="E114" s="91"/>
      <c r="F114" s="272"/>
    </row>
    <row r="115" spans="1:10" ht="26.25" customHeight="1" x14ac:dyDescent="0.4">
      <c r="A115" s="117" t="s">
        <v>102</v>
      </c>
      <c r="B115" s="118">
        <v>1</v>
      </c>
      <c r="C115" s="225"/>
      <c r="D115" s="249" t="s">
        <v>71</v>
      </c>
      <c r="E115" s="251">
        <f>AVERAGE(E108:E113)</f>
        <v>783.43411101718675</v>
      </c>
      <c r="F115" s="273">
        <f>AVERAGE(F108:F113)</f>
        <v>97.929263877148344</v>
      </c>
    </row>
    <row r="116" spans="1:10" ht="27" customHeight="1" x14ac:dyDescent="0.4">
      <c r="A116" s="117" t="s">
        <v>103</v>
      </c>
      <c r="B116" s="148">
        <f>(B115/B114)*(B113/B112)*(B111/B110)*(B109/B108)*B107</f>
        <v>4500</v>
      </c>
      <c r="C116" s="226"/>
      <c r="D116" s="250" t="s">
        <v>84</v>
      </c>
      <c r="E116" s="248">
        <f>STDEV(E108:E113)/E115</f>
        <v>7.5261935613588123E-3</v>
      </c>
      <c r="F116" s="227">
        <f>STDEV(F108:F113)/F115</f>
        <v>7.5261935613588123E-3</v>
      </c>
      <c r="I116" s="91"/>
    </row>
    <row r="117" spans="1:10" ht="27" customHeight="1" x14ac:dyDescent="0.4">
      <c r="A117" s="502" t="s">
        <v>78</v>
      </c>
      <c r="B117" s="503"/>
      <c r="C117" s="228"/>
      <c r="D117" s="187" t="s">
        <v>20</v>
      </c>
      <c r="E117" s="253">
        <f>COUNT(E108:E113)</f>
        <v>6</v>
      </c>
      <c r="F117" s="254">
        <f>COUNT(F108:F113)</f>
        <v>6</v>
      </c>
      <c r="I117" s="91"/>
      <c r="J117" s="221"/>
    </row>
    <row r="118" spans="1:10" ht="26.25" customHeight="1" x14ac:dyDescent="0.3">
      <c r="A118" s="504"/>
      <c r="B118" s="505"/>
      <c r="C118" s="91"/>
      <c r="D118" s="252"/>
      <c r="E118" s="530" t="s">
        <v>123</v>
      </c>
      <c r="F118" s="531"/>
      <c r="G118" s="91"/>
      <c r="H118" s="91"/>
      <c r="I118" s="91"/>
    </row>
    <row r="119" spans="1:10" ht="25.5" customHeight="1" x14ac:dyDescent="0.4">
      <c r="A119" s="237"/>
      <c r="B119" s="113"/>
      <c r="C119" s="91"/>
      <c r="D119" s="250" t="s">
        <v>124</v>
      </c>
      <c r="E119" s="255">
        <f>MIN(E108:E113)</f>
        <v>774.86340662579119</v>
      </c>
      <c r="F119" s="274">
        <f>MIN(F108:F113)</f>
        <v>96.857925828223898</v>
      </c>
      <c r="G119" s="91"/>
      <c r="H119" s="91"/>
      <c r="I119" s="91"/>
    </row>
    <row r="120" spans="1:10" ht="24" customHeight="1" x14ac:dyDescent="0.4">
      <c r="A120" s="237"/>
      <c r="B120" s="113"/>
      <c r="C120" s="91"/>
      <c r="D120" s="159" t="s">
        <v>125</v>
      </c>
      <c r="E120" s="256">
        <f>MAX(E108:E113)</f>
        <v>791.6019114016799</v>
      </c>
      <c r="F120" s="275">
        <f>MAX(F108:F113)</f>
        <v>98.950238925209987</v>
      </c>
      <c r="G120" s="91"/>
      <c r="H120" s="91"/>
      <c r="I120" s="91"/>
    </row>
    <row r="121" spans="1:10" ht="27" customHeight="1" x14ac:dyDescent="0.3">
      <c r="A121" s="237"/>
      <c r="B121" s="113"/>
      <c r="C121" s="91"/>
      <c r="D121" s="91"/>
      <c r="E121" s="91"/>
      <c r="F121" s="183"/>
      <c r="G121" s="91"/>
      <c r="H121" s="91"/>
      <c r="I121" s="91"/>
    </row>
    <row r="122" spans="1:10" ht="25.5" customHeight="1" x14ac:dyDescent="0.3">
      <c r="A122" s="237"/>
      <c r="B122" s="113"/>
      <c r="C122" s="91"/>
      <c r="D122" s="91"/>
      <c r="E122" s="91"/>
      <c r="F122" s="183"/>
      <c r="G122" s="91"/>
      <c r="H122" s="91"/>
      <c r="I122" s="91"/>
    </row>
    <row r="123" spans="1:10" ht="18.75" x14ac:dyDescent="0.3">
      <c r="A123" s="237"/>
      <c r="B123" s="113"/>
      <c r="C123" s="91"/>
      <c r="D123" s="91"/>
      <c r="E123" s="91"/>
      <c r="F123" s="183"/>
      <c r="G123" s="91"/>
      <c r="H123" s="91"/>
      <c r="I123" s="91"/>
    </row>
    <row r="124" spans="1:10" ht="45.75" customHeight="1" x14ac:dyDescent="0.65">
      <c r="A124" s="101" t="s">
        <v>106</v>
      </c>
      <c r="B124" s="189" t="s">
        <v>126</v>
      </c>
      <c r="C124" s="506" t="str">
        <f>B26</f>
        <v>SULFAMETHOXAZOLE</v>
      </c>
      <c r="D124" s="506"/>
      <c r="E124" s="190" t="s">
        <v>127</v>
      </c>
      <c r="F124" s="190"/>
      <c r="G124" s="276">
        <f>F115</f>
        <v>97.929263877148344</v>
      </c>
      <c r="H124" s="91"/>
      <c r="I124" s="91"/>
    </row>
    <row r="125" spans="1:10" ht="45.75" customHeight="1" x14ac:dyDescent="0.65">
      <c r="A125" s="101"/>
      <c r="B125" s="189" t="s">
        <v>128</v>
      </c>
      <c r="C125" s="102" t="s">
        <v>129</v>
      </c>
      <c r="D125" s="276">
        <f>MIN(F108:F113)</f>
        <v>96.857925828223898</v>
      </c>
      <c r="E125" s="201" t="s">
        <v>130</v>
      </c>
      <c r="F125" s="276">
        <f>MAX(F108:F113)</f>
        <v>98.950238925209987</v>
      </c>
      <c r="G125" s="191"/>
      <c r="H125" s="91"/>
      <c r="I125" s="91"/>
    </row>
    <row r="126" spans="1:10" ht="19.5" customHeight="1" x14ac:dyDescent="0.3">
      <c r="A126" s="229"/>
      <c r="B126" s="229"/>
      <c r="C126" s="230"/>
      <c r="D126" s="230"/>
      <c r="E126" s="230"/>
      <c r="F126" s="230"/>
      <c r="G126" s="230"/>
      <c r="H126" s="230"/>
    </row>
    <row r="127" spans="1:10" ht="18.75" x14ac:dyDescent="0.3">
      <c r="B127" s="507" t="s">
        <v>26</v>
      </c>
      <c r="C127" s="507"/>
      <c r="E127" s="196" t="s">
        <v>27</v>
      </c>
      <c r="F127" s="231"/>
      <c r="G127" s="507" t="s">
        <v>28</v>
      </c>
      <c r="H127" s="507"/>
    </row>
    <row r="128" spans="1:10" ht="69.95" customHeight="1" x14ac:dyDescent="0.3">
      <c r="A128" s="232" t="s">
        <v>29</v>
      </c>
      <c r="B128" s="233"/>
      <c r="C128" s="233"/>
      <c r="E128" s="233"/>
      <c r="F128" s="91"/>
      <c r="G128" s="234"/>
      <c r="H128" s="234"/>
    </row>
    <row r="129" spans="1:9" ht="69.95" customHeight="1" x14ac:dyDescent="0.3">
      <c r="A129" s="232" t="s">
        <v>30</v>
      </c>
      <c r="B129" s="235"/>
      <c r="C129" s="235"/>
      <c r="E129" s="235"/>
      <c r="F129" s="91"/>
      <c r="G129" s="236"/>
      <c r="H129" s="236"/>
    </row>
    <row r="130" spans="1:9" ht="18.75" x14ac:dyDescent="0.3">
      <c r="A130" s="182"/>
      <c r="B130" s="182"/>
      <c r="C130" s="183"/>
      <c r="D130" s="183"/>
      <c r="E130" s="183"/>
      <c r="F130" s="186"/>
      <c r="G130" s="183"/>
      <c r="H130" s="183"/>
      <c r="I130" s="91"/>
    </row>
    <row r="131" spans="1:9" ht="18.75" x14ac:dyDescent="0.3">
      <c r="A131" s="182"/>
      <c r="B131" s="182"/>
      <c r="C131" s="183"/>
      <c r="D131" s="183"/>
      <c r="E131" s="183"/>
      <c r="F131" s="186"/>
      <c r="G131" s="183"/>
      <c r="H131" s="183"/>
      <c r="I131" s="91"/>
    </row>
    <row r="132" spans="1:9" ht="18.75" x14ac:dyDescent="0.3">
      <c r="A132" s="182"/>
      <c r="B132" s="182"/>
      <c r="C132" s="183"/>
      <c r="D132" s="183"/>
      <c r="E132" s="183"/>
      <c r="F132" s="186"/>
      <c r="G132" s="183"/>
      <c r="H132" s="183"/>
      <c r="I132" s="91"/>
    </row>
    <row r="133" spans="1:9" ht="18.75" x14ac:dyDescent="0.3">
      <c r="A133" s="182"/>
      <c r="B133" s="182"/>
      <c r="C133" s="183"/>
      <c r="D133" s="183"/>
      <c r="E133" s="183"/>
      <c r="F133" s="186"/>
      <c r="G133" s="183"/>
      <c r="H133" s="183"/>
      <c r="I133" s="91"/>
    </row>
    <row r="134" spans="1:9" ht="18.75" x14ac:dyDescent="0.3">
      <c r="A134" s="182"/>
      <c r="B134" s="182"/>
      <c r="C134" s="183"/>
      <c r="D134" s="183"/>
      <c r="E134" s="183"/>
      <c r="F134" s="186"/>
      <c r="G134" s="183"/>
      <c r="H134" s="183"/>
      <c r="I134" s="91"/>
    </row>
    <row r="135" spans="1:9" ht="18.75" x14ac:dyDescent="0.3">
      <c r="A135" s="182"/>
      <c r="B135" s="182"/>
      <c r="C135" s="183"/>
      <c r="D135" s="183"/>
      <c r="E135" s="183"/>
      <c r="F135" s="186"/>
      <c r="G135" s="183"/>
      <c r="H135" s="183"/>
      <c r="I135" s="91"/>
    </row>
    <row r="136" spans="1:9" ht="18.75" x14ac:dyDescent="0.3">
      <c r="A136" s="182"/>
      <c r="B136" s="182"/>
      <c r="C136" s="183"/>
      <c r="D136" s="183"/>
      <c r="E136" s="183"/>
      <c r="F136" s="186"/>
      <c r="G136" s="183"/>
      <c r="H136" s="183"/>
      <c r="I136" s="91"/>
    </row>
    <row r="137" spans="1:9" ht="18.75" x14ac:dyDescent="0.3">
      <c r="A137" s="182"/>
      <c r="B137" s="182"/>
      <c r="C137" s="183"/>
      <c r="D137" s="183"/>
      <c r="E137" s="183"/>
      <c r="F137" s="186"/>
      <c r="G137" s="183"/>
      <c r="H137" s="183"/>
      <c r="I137" s="91"/>
    </row>
    <row r="138" spans="1:9" ht="18.75" x14ac:dyDescent="0.3">
      <c r="A138" s="182"/>
      <c r="B138" s="182"/>
      <c r="C138" s="183"/>
      <c r="D138" s="183"/>
      <c r="E138" s="183"/>
      <c r="F138" s="186"/>
      <c r="G138" s="183"/>
      <c r="H138" s="183"/>
      <c r="I138" s="91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94" zoomScale="44" zoomScaleNormal="40" zoomScalePageLayoutView="44" workbookViewId="0">
      <selection activeCell="D96" sqref="D96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00" t="s">
        <v>45</v>
      </c>
      <c r="B1" s="500"/>
      <c r="C1" s="500"/>
      <c r="D1" s="500"/>
      <c r="E1" s="500"/>
      <c r="F1" s="500"/>
      <c r="G1" s="500"/>
      <c r="H1" s="500"/>
      <c r="I1" s="500"/>
    </row>
    <row r="2" spans="1:9" ht="18.75" customHeight="1" x14ac:dyDescent="0.25">
      <c r="A2" s="500"/>
      <c r="B2" s="500"/>
      <c r="C2" s="500"/>
      <c r="D2" s="500"/>
      <c r="E2" s="500"/>
      <c r="F2" s="500"/>
      <c r="G2" s="500"/>
      <c r="H2" s="500"/>
      <c r="I2" s="500"/>
    </row>
    <row r="3" spans="1:9" ht="18.75" customHeight="1" x14ac:dyDescent="0.25">
      <c r="A3" s="500"/>
      <c r="B3" s="500"/>
      <c r="C3" s="500"/>
      <c r="D3" s="500"/>
      <c r="E3" s="500"/>
      <c r="F3" s="500"/>
      <c r="G3" s="500"/>
      <c r="H3" s="500"/>
      <c r="I3" s="500"/>
    </row>
    <row r="4" spans="1:9" ht="18.75" customHeight="1" x14ac:dyDescent="0.25">
      <c r="A4" s="500"/>
      <c r="B4" s="500"/>
      <c r="C4" s="500"/>
      <c r="D4" s="500"/>
      <c r="E4" s="500"/>
      <c r="F4" s="500"/>
      <c r="G4" s="500"/>
      <c r="H4" s="500"/>
      <c r="I4" s="500"/>
    </row>
    <row r="5" spans="1:9" ht="18.75" customHeight="1" x14ac:dyDescent="0.25">
      <c r="A5" s="500"/>
      <c r="B5" s="500"/>
      <c r="C5" s="500"/>
      <c r="D5" s="500"/>
      <c r="E5" s="500"/>
      <c r="F5" s="500"/>
      <c r="G5" s="500"/>
      <c r="H5" s="500"/>
      <c r="I5" s="500"/>
    </row>
    <row r="6" spans="1:9" ht="18.75" customHeight="1" x14ac:dyDescent="0.25">
      <c r="A6" s="500"/>
      <c r="B6" s="500"/>
      <c r="C6" s="500"/>
      <c r="D6" s="500"/>
      <c r="E6" s="500"/>
      <c r="F6" s="500"/>
      <c r="G6" s="500"/>
      <c r="H6" s="500"/>
      <c r="I6" s="500"/>
    </row>
    <row r="7" spans="1:9" ht="18.75" customHeight="1" x14ac:dyDescent="0.25">
      <c r="A7" s="500"/>
      <c r="B7" s="500"/>
      <c r="C7" s="500"/>
      <c r="D7" s="500"/>
      <c r="E7" s="500"/>
      <c r="F7" s="500"/>
      <c r="G7" s="500"/>
      <c r="H7" s="500"/>
      <c r="I7" s="500"/>
    </row>
    <row r="8" spans="1:9" x14ac:dyDescent="0.25">
      <c r="A8" s="501" t="s">
        <v>46</v>
      </c>
      <c r="B8" s="501"/>
      <c r="C8" s="501"/>
      <c r="D8" s="501"/>
      <c r="E8" s="501"/>
      <c r="F8" s="501"/>
      <c r="G8" s="501"/>
      <c r="H8" s="501"/>
      <c r="I8" s="501"/>
    </row>
    <row r="9" spans="1:9" x14ac:dyDescent="0.25">
      <c r="A9" s="501"/>
      <c r="B9" s="501"/>
      <c r="C9" s="501"/>
      <c r="D9" s="501"/>
      <c r="E9" s="501"/>
      <c r="F9" s="501"/>
      <c r="G9" s="501"/>
      <c r="H9" s="501"/>
      <c r="I9" s="501"/>
    </row>
    <row r="10" spans="1:9" x14ac:dyDescent="0.25">
      <c r="A10" s="501"/>
      <c r="B10" s="501"/>
      <c r="C10" s="501"/>
      <c r="D10" s="501"/>
      <c r="E10" s="501"/>
      <c r="F10" s="501"/>
      <c r="G10" s="501"/>
      <c r="H10" s="501"/>
      <c r="I10" s="501"/>
    </row>
    <row r="11" spans="1:9" x14ac:dyDescent="0.25">
      <c r="A11" s="501"/>
      <c r="B11" s="501"/>
      <c r="C11" s="501"/>
      <c r="D11" s="501"/>
      <c r="E11" s="501"/>
      <c r="F11" s="501"/>
      <c r="G11" s="501"/>
      <c r="H11" s="501"/>
      <c r="I11" s="501"/>
    </row>
    <row r="12" spans="1:9" x14ac:dyDescent="0.25">
      <c r="A12" s="501"/>
      <c r="B12" s="501"/>
      <c r="C12" s="501"/>
      <c r="D12" s="501"/>
      <c r="E12" s="501"/>
      <c r="F12" s="501"/>
      <c r="G12" s="501"/>
      <c r="H12" s="501"/>
      <c r="I12" s="501"/>
    </row>
    <row r="13" spans="1:9" x14ac:dyDescent="0.25">
      <c r="A13" s="501"/>
      <c r="B13" s="501"/>
      <c r="C13" s="501"/>
      <c r="D13" s="501"/>
      <c r="E13" s="501"/>
      <c r="F13" s="501"/>
      <c r="G13" s="501"/>
      <c r="H13" s="501"/>
      <c r="I13" s="501"/>
    </row>
    <row r="14" spans="1:9" x14ac:dyDescent="0.25">
      <c r="A14" s="501"/>
      <c r="B14" s="501"/>
      <c r="C14" s="501"/>
      <c r="D14" s="501"/>
      <c r="E14" s="501"/>
      <c r="F14" s="501"/>
      <c r="G14" s="501"/>
      <c r="H14" s="501"/>
      <c r="I14" s="501"/>
    </row>
    <row r="15" spans="1:9" ht="19.5" customHeight="1" x14ac:dyDescent="0.3">
      <c r="A15" s="278"/>
    </row>
    <row r="16" spans="1:9" ht="19.5" customHeight="1" x14ac:dyDescent="0.3">
      <c r="A16" s="534" t="s">
        <v>31</v>
      </c>
      <c r="B16" s="535"/>
      <c r="C16" s="535"/>
      <c r="D16" s="535"/>
      <c r="E16" s="535"/>
      <c r="F16" s="535"/>
      <c r="G16" s="535"/>
      <c r="H16" s="536"/>
    </row>
    <row r="17" spans="1:14" ht="20.25" customHeight="1" x14ac:dyDescent="0.25">
      <c r="A17" s="537" t="s">
        <v>47</v>
      </c>
      <c r="B17" s="537"/>
      <c r="C17" s="537"/>
      <c r="D17" s="537"/>
      <c r="E17" s="537"/>
      <c r="F17" s="537"/>
      <c r="G17" s="537"/>
      <c r="H17" s="537"/>
    </row>
    <row r="18" spans="1:14" ht="26.25" customHeight="1" x14ac:dyDescent="0.4">
      <c r="A18" s="280" t="s">
        <v>33</v>
      </c>
      <c r="B18" s="533" t="s">
        <v>5</v>
      </c>
      <c r="C18" s="533"/>
      <c r="D18" s="425"/>
      <c r="E18" s="281"/>
      <c r="F18" s="282"/>
      <c r="G18" s="282"/>
      <c r="H18" s="282"/>
    </row>
    <row r="19" spans="1:14" ht="26.25" customHeight="1" x14ac:dyDescent="0.4">
      <c r="A19" s="280" t="s">
        <v>34</v>
      </c>
      <c r="B19" s="283" t="s">
        <v>7</v>
      </c>
      <c r="C19" s="434">
        <v>1</v>
      </c>
      <c r="D19" s="282"/>
      <c r="E19" s="282"/>
      <c r="F19" s="282"/>
      <c r="G19" s="282"/>
      <c r="H19" s="282"/>
    </row>
    <row r="20" spans="1:14" ht="26.25" customHeight="1" x14ac:dyDescent="0.4">
      <c r="A20" s="280" t="s">
        <v>35</v>
      </c>
      <c r="B20" s="538" t="s">
        <v>9</v>
      </c>
      <c r="C20" s="538"/>
      <c r="D20" s="282"/>
      <c r="E20" s="282"/>
      <c r="F20" s="282"/>
      <c r="G20" s="282"/>
      <c r="H20" s="282"/>
    </row>
    <row r="21" spans="1:14" ht="26.25" customHeight="1" x14ac:dyDescent="0.4">
      <c r="A21" s="280" t="s">
        <v>36</v>
      </c>
      <c r="B21" s="538" t="s">
        <v>11</v>
      </c>
      <c r="C21" s="538"/>
      <c r="D21" s="538"/>
      <c r="E21" s="538"/>
      <c r="F21" s="538"/>
      <c r="G21" s="538"/>
      <c r="H21" s="538"/>
      <c r="I21" s="284"/>
    </row>
    <row r="22" spans="1:14" ht="26.25" customHeight="1" x14ac:dyDescent="0.4">
      <c r="A22" s="280" t="s">
        <v>37</v>
      </c>
      <c r="B22" s="285" t="s">
        <v>12</v>
      </c>
      <c r="C22" s="282"/>
      <c r="D22" s="282"/>
      <c r="E22" s="282"/>
      <c r="F22" s="282"/>
      <c r="G22" s="282"/>
      <c r="H22" s="282"/>
    </row>
    <row r="23" spans="1:14" ht="26.25" customHeight="1" x14ac:dyDescent="0.4">
      <c r="A23" s="280" t="s">
        <v>38</v>
      </c>
      <c r="B23" s="285">
        <v>43222</v>
      </c>
      <c r="C23" s="282"/>
      <c r="D23" s="282"/>
      <c r="E23" s="282"/>
      <c r="F23" s="282"/>
      <c r="G23" s="282"/>
      <c r="H23" s="282"/>
    </row>
    <row r="24" spans="1:14" ht="18.75" x14ac:dyDescent="0.3">
      <c r="A24" s="280"/>
      <c r="B24" s="286"/>
    </row>
    <row r="25" spans="1:14" ht="18.75" x14ac:dyDescent="0.3">
      <c r="A25" s="287" t="s">
        <v>1</v>
      </c>
      <c r="B25" s="286"/>
    </row>
    <row r="26" spans="1:14" ht="26.25" customHeight="1" x14ac:dyDescent="0.4">
      <c r="A26" s="288" t="s">
        <v>4</v>
      </c>
      <c r="B26" s="532" t="s">
        <v>131</v>
      </c>
      <c r="C26" s="533"/>
    </row>
    <row r="27" spans="1:14" ht="26.25" customHeight="1" x14ac:dyDescent="0.4">
      <c r="A27" s="289" t="s">
        <v>48</v>
      </c>
      <c r="B27" s="539" t="s">
        <v>134</v>
      </c>
      <c r="C27" s="540"/>
    </row>
    <row r="28" spans="1:14" ht="27" customHeight="1" x14ac:dyDescent="0.4">
      <c r="A28" s="289" t="s">
        <v>6</v>
      </c>
      <c r="B28" s="290">
        <v>99.75</v>
      </c>
    </row>
    <row r="29" spans="1:14" s="12" customFormat="1" ht="27" customHeight="1" x14ac:dyDescent="0.4">
      <c r="A29" s="289" t="s">
        <v>49</v>
      </c>
      <c r="B29" s="291">
        <v>0</v>
      </c>
      <c r="C29" s="508" t="s">
        <v>50</v>
      </c>
      <c r="D29" s="509"/>
      <c r="E29" s="509"/>
      <c r="F29" s="509"/>
      <c r="G29" s="510"/>
      <c r="I29" s="292"/>
      <c r="J29" s="292"/>
      <c r="K29" s="292"/>
      <c r="L29" s="292"/>
    </row>
    <row r="30" spans="1:14" s="12" customFormat="1" ht="19.5" customHeight="1" x14ac:dyDescent="0.3">
      <c r="A30" s="289" t="s">
        <v>51</v>
      </c>
      <c r="B30" s="293">
        <f>B28-B29</f>
        <v>99.75</v>
      </c>
      <c r="C30" s="294"/>
      <c r="D30" s="294"/>
      <c r="E30" s="294"/>
      <c r="F30" s="294"/>
      <c r="G30" s="295"/>
      <c r="I30" s="292"/>
      <c r="J30" s="292"/>
      <c r="K30" s="292"/>
      <c r="L30" s="292"/>
    </row>
    <row r="31" spans="1:14" s="12" customFormat="1" ht="27" customHeight="1" x14ac:dyDescent="0.4">
      <c r="A31" s="289" t="s">
        <v>52</v>
      </c>
      <c r="B31" s="296">
        <v>1</v>
      </c>
      <c r="C31" s="511" t="s">
        <v>53</v>
      </c>
      <c r="D31" s="512"/>
      <c r="E31" s="512"/>
      <c r="F31" s="512"/>
      <c r="G31" s="512"/>
      <c r="H31" s="513"/>
      <c r="I31" s="292"/>
      <c r="J31" s="292"/>
      <c r="K31" s="292"/>
      <c r="L31" s="292"/>
    </row>
    <row r="32" spans="1:14" s="12" customFormat="1" ht="27" customHeight="1" x14ac:dyDescent="0.4">
      <c r="A32" s="289" t="s">
        <v>54</v>
      </c>
      <c r="B32" s="296">
        <v>1</v>
      </c>
      <c r="C32" s="511" t="s">
        <v>55</v>
      </c>
      <c r="D32" s="512"/>
      <c r="E32" s="512"/>
      <c r="F32" s="512"/>
      <c r="G32" s="512"/>
      <c r="H32" s="513"/>
      <c r="I32" s="292"/>
      <c r="J32" s="292"/>
      <c r="K32" s="292"/>
      <c r="L32" s="297"/>
      <c r="M32" s="297"/>
      <c r="N32" s="298"/>
    </row>
    <row r="33" spans="1:14" s="12" customFormat="1" ht="17.25" customHeight="1" x14ac:dyDescent="0.3">
      <c r="A33" s="289"/>
      <c r="B33" s="299"/>
      <c r="C33" s="300"/>
      <c r="D33" s="300"/>
      <c r="E33" s="300"/>
      <c r="F33" s="300"/>
      <c r="G33" s="300"/>
      <c r="H33" s="300"/>
      <c r="I33" s="292"/>
      <c r="J33" s="292"/>
      <c r="K33" s="292"/>
      <c r="L33" s="297"/>
      <c r="M33" s="297"/>
      <c r="N33" s="298"/>
    </row>
    <row r="34" spans="1:14" s="12" customFormat="1" ht="18.75" x14ac:dyDescent="0.3">
      <c r="A34" s="289" t="s">
        <v>56</v>
      </c>
      <c r="B34" s="301">
        <f>B31/B32</f>
        <v>1</v>
      </c>
      <c r="C34" s="279" t="s">
        <v>57</v>
      </c>
      <c r="D34" s="279"/>
      <c r="E34" s="279"/>
      <c r="F34" s="279"/>
      <c r="G34" s="279"/>
      <c r="I34" s="292"/>
      <c r="J34" s="292"/>
      <c r="K34" s="292"/>
      <c r="L34" s="297"/>
      <c r="M34" s="297"/>
      <c r="N34" s="298"/>
    </row>
    <row r="35" spans="1:14" s="12" customFormat="1" ht="19.5" customHeight="1" x14ac:dyDescent="0.3">
      <c r="A35" s="289"/>
      <c r="B35" s="293"/>
      <c r="G35" s="279"/>
      <c r="I35" s="292"/>
      <c r="J35" s="292"/>
      <c r="K35" s="292"/>
      <c r="L35" s="297"/>
      <c r="M35" s="297"/>
      <c r="N35" s="298"/>
    </row>
    <row r="36" spans="1:14" s="12" customFormat="1" ht="27" customHeight="1" x14ac:dyDescent="0.4">
      <c r="A36" s="302" t="s">
        <v>58</v>
      </c>
      <c r="B36" s="303">
        <v>25</v>
      </c>
      <c r="C36" s="279"/>
      <c r="D36" s="514" t="s">
        <v>59</v>
      </c>
      <c r="E36" s="541"/>
      <c r="F36" s="514" t="s">
        <v>60</v>
      </c>
      <c r="G36" s="515"/>
      <c r="J36" s="292"/>
      <c r="K36" s="292"/>
      <c r="L36" s="297"/>
      <c r="M36" s="297"/>
      <c r="N36" s="298"/>
    </row>
    <row r="37" spans="1:14" s="12" customFormat="1" ht="27" customHeight="1" x14ac:dyDescent="0.4">
      <c r="A37" s="304" t="s">
        <v>61</v>
      </c>
      <c r="B37" s="305">
        <v>4</v>
      </c>
      <c r="C37" s="306" t="s">
        <v>62</v>
      </c>
      <c r="D37" s="307" t="s">
        <v>63</v>
      </c>
      <c r="E37" s="308" t="s">
        <v>64</v>
      </c>
      <c r="F37" s="307" t="s">
        <v>63</v>
      </c>
      <c r="G37" s="309" t="s">
        <v>64</v>
      </c>
      <c r="I37" s="310" t="s">
        <v>65</v>
      </c>
      <c r="J37" s="292"/>
      <c r="K37" s="292"/>
      <c r="L37" s="297"/>
      <c r="M37" s="297"/>
      <c r="N37" s="298"/>
    </row>
    <row r="38" spans="1:14" s="12" customFormat="1" ht="26.25" customHeight="1" x14ac:dyDescent="0.4">
      <c r="A38" s="304" t="s">
        <v>66</v>
      </c>
      <c r="B38" s="305">
        <v>100</v>
      </c>
      <c r="C38" s="311">
        <v>1</v>
      </c>
      <c r="D38" s="475">
        <v>5585495</v>
      </c>
      <c r="E38" s="312">
        <f>IF(ISBLANK(D38),"-",$D$48/$D$45*D38)</f>
        <v>5535831.6701293513</v>
      </c>
      <c r="F38" s="475">
        <v>5893606</v>
      </c>
      <c r="G38" s="313">
        <f>IF(ISBLANK(F38),"-",$D$48/$F$45*F38)</f>
        <v>5600357.2913325951</v>
      </c>
      <c r="I38" s="314"/>
      <c r="J38" s="292"/>
      <c r="K38" s="292"/>
      <c r="L38" s="297"/>
      <c r="M38" s="297"/>
      <c r="N38" s="298"/>
    </row>
    <row r="39" spans="1:14" s="12" customFormat="1" ht="26.25" customHeight="1" x14ac:dyDescent="0.4">
      <c r="A39" s="304" t="s">
        <v>67</v>
      </c>
      <c r="B39" s="305">
        <v>1</v>
      </c>
      <c r="C39" s="315">
        <v>2</v>
      </c>
      <c r="D39" s="476">
        <v>5599987</v>
      </c>
      <c r="E39" s="317">
        <f>IF(ISBLANK(D39),"-",$D$48/$D$45*D39)</f>
        <v>5550194.8147680117</v>
      </c>
      <c r="F39" s="476">
        <v>5883181</v>
      </c>
      <c r="G39" s="318">
        <f>IF(ISBLANK(F39),"-",$D$48/$F$45*F39)</f>
        <v>5590451.0090391841</v>
      </c>
      <c r="I39" s="516">
        <f>ABS((F43/D43*D42)-F42)/D42</f>
        <v>1.070659765492318E-2</v>
      </c>
      <c r="J39" s="292"/>
      <c r="K39" s="292"/>
      <c r="L39" s="297"/>
      <c r="M39" s="297"/>
      <c r="N39" s="298"/>
    </row>
    <row r="40" spans="1:14" ht="26.25" customHeight="1" x14ac:dyDescent="0.4">
      <c r="A40" s="304" t="s">
        <v>68</v>
      </c>
      <c r="B40" s="305">
        <v>1</v>
      </c>
      <c r="C40" s="315">
        <v>3</v>
      </c>
      <c r="D40" s="476">
        <v>5594370</v>
      </c>
      <c r="E40" s="317">
        <f>IF(ISBLANK(D40),"-",$D$48/$D$45*D40)</f>
        <v>5544627.7582240319</v>
      </c>
      <c r="F40" s="476">
        <v>5904345</v>
      </c>
      <c r="G40" s="318">
        <f>IF(ISBLANK(F40),"-",$D$48/$F$45*F40)</f>
        <v>5610561.9498984413</v>
      </c>
      <c r="I40" s="516"/>
      <c r="L40" s="297"/>
      <c r="M40" s="297"/>
      <c r="N40" s="319"/>
    </row>
    <row r="41" spans="1:14" ht="27" customHeight="1" x14ac:dyDescent="0.4">
      <c r="A41" s="304" t="s">
        <v>69</v>
      </c>
      <c r="B41" s="305">
        <v>1</v>
      </c>
      <c r="C41" s="320">
        <v>4</v>
      </c>
      <c r="D41" s="321"/>
      <c r="E41" s="322" t="str">
        <f>IF(ISBLANK(D41),"-",$D$48/$D$45*D41)</f>
        <v>-</v>
      </c>
      <c r="F41" s="321"/>
      <c r="G41" s="323" t="str">
        <f>IF(ISBLANK(F41),"-",$D$48/$F$45*F41)</f>
        <v>-</v>
      </c>
      <c r="I41" s="324"/>
      <c r="L41" s="297"/>
      <c r="M41" s="297"/>
      <c r="N41" s="319"/>
    </row>
    <row r="42" spans="1:14" ht="27" customHeight="1" x14ac:dyDescent="0.4">
      <c r="A42" s="304" t="s">
        <v>70</v>
      </c>
      <c r="B42" s="305">
        <v>1</v>
      </c>
      <c r="C42" s="325" t="s">
        <v>71</v>
      </c>
      <c r="D42" s="326">
        <f>AVERAGE(D38:D41)</f>
        <v>5593284</v>
      </c>
      <c r="E42" s="327">
        <f>AVERAGE(E38:E41)</f>
        <v>5543551.4143737992</v>
      </c>
      <c r="F42" s="326">
        <f>AVERAGE(F38:F41)</f>
        <v>5893710.666666667</v>
      </c>
      <c r="G42" s="328">
        <f>AVERAGE(G38:G41)</f>
        <v>5600456.7500900738</v>
      </c>
      <c r="H42" s="329"/>
    </row>
    <row r="43" spans="1:14" ht="26.25" customHeight="1" x14ac:dyDescent="0.4">
      <c r="A43" s="304" t="s">
        <v>72</v>
      </c>
      <c r="B43" s="305">
        <v>1</v>
      </c>
      <c r="C43" s="330" t="s">
        <v>73</v>
      </c>
      <c r="D43" s="331">
        <v>20.23</v>
      </c>
      <c r="E43" s="319"/>
      <c r="F43" s="543">
        <v>21.1</v>
      </c>
      <c r="H43" s="329"/>
    </row>
    <row r="44" spans="1:14" ht="26.25" customHeight="1" x14ac:dyDescent="0.4">
      <c r="A44" s="304" t="s">
        <v>74</v>
      </c>
      <c r="B44" s="305">
        <v>1</v>
      </c>
      <c r="C44" s="332" t="s">
        <v>75</v>
      </c>
      <c r="D44" s="333">
        <f>D43*$B$34</f>
        <v>20.23</v>
      </c>
      <c r="E44" s="334"/>
      <c r="F44" s="333">
        <f>F43*$B$34</f>
        <v>21.1</v>
      </c>
      <c r="H44" s="329"/>
    </row>
    <row r="45" spans="1:14" ht="19.5" customHeight="1" x14ac:dyDescent="0.3">
      <c r="A45" s="304" t="s">
        <v>76</v>
      </c>
      <c r="B45" s="335">
        <f>(B44/B43)*(B42/B41)*(B40/B39)*(B38/B37)*B36</f>
        <v>625</v>
      </c>
      <c r="C45" s="332" t="s">
        <v>77</v>
      </c>
      <c r="D45" s="336">
        <f>D44*$B$30/100</f>
        <v>20.179425000000002</v>
      </c>
      <c r="E45" s="337"/>
      <c r="F45" s="336">
        <f>F44*$B$30/100</f>
        <v>21.047250000000005</v>
      </c>
      <c r="H45" s="329"/>
    </row>
    <row r="46" spans="1:14" ht="19.5" customHeight="1" x14ac:dyDescent="0.3">
      <c r="A46" s="502" t="s">
        <v>78</v>
      </c>
      <c r="B46" s="503"/>
      <c r="C46" s="332" t="s">
        <v>79</v>
      </c>
      <c r="D46" s="338">
        <f>D45/$B$45</f>
        <v>3.2287080000000003E-2</v>
      </c>
      <c r="E46" s="339"/>
      <c r="F46" s="340">
        <f>F45/$B$45</f>
        <v>3.3675600000000007E-2</v>
      </c>
      <c r="H46" s="329"/>
    </row>
    <row r="47" spans="1:14" ht="27" customHeight="1" x14ac:dyDescent="0.4">
      <c r="A47" s="504"/>
      <c r="B47" s="505"/>
      <c r="C47" s="341" t="s">
        <v>80</v>
      </c>
      <c r="D47" s="342">
        <v>3.2000000000000001E-2</v>
      </c>
      <c r="E47" s="343"/>
      <c r="F47" s="339"/>
      <c r="H47" s="329"/>
    </row>
    <row r="48" spans="1:14" ht="18.75" x14ac:dyDescent="0.3">
      <c r="C48" s="344" t="s">
        <v>81</v>
      </c>
      <c r="D48" s="336">
        <f>D47*$B$45</f>
        <v>20</v>
      </c>
      <c r="F48" s="345"/>
      <c r="H48" s="329"/>
    </row>
    <row r="49" spans="1:12" ht="19.5" customHeight="1" x14ac:dyDescent="0.3">
      <c r="C49" s="346" t="s">
        <v>82</v>
      </c>
      <c r="D49" s="347">
        <f>D48/B34</f>
        <v>20</v>
      </c>
      <c r="F49" s="345"/>
      <c r="H49" s="329"/>
    </row>
    <row r="50" spans="1:12" ht="18.75" x14ac:dyDescent="0.3">
      <c r="C50" s="302" t="s">
        <v>83</v>
      </c>
      <c r="D50" s="348">
        <f>AVERAGE(E38:E41,G38:G41)</f>
        <v>5572004.082231936</v>
      </c>
      <c r="F50" s="349"/>
      <c r="H50" s="329"/>
    </row>
    <row r="51" spans="1:12" ht="18.75" x14ac:dyDescent="0.3">
      <c r="C51" s="304" t="s">
        <v>84</v>
      </c>
      <c r="D51" s="350">
        <f>STDEV(E38:E41,G38:G41)/D50</f>
        <v>5.7678738487279583E-3</v>
      </c>
      <c r="F51" s="349"/>
      <c r="H51" s="329"/>
    </row>
    <row r="52" spans="1:12" ht="19.5" customHeight="1" x14ac:dyDescent="0.3">
      <c r="C52" s="351" t="s">
        <v>20</v>
      </c>
      <c r="D52" s="352">
        <f>COUNT(E38:E41,G38:G41)</f>
        <v>6</v>
      </c>
      <c r="F52" s="349"/>
    </row>
    <row r="54" spans="1:12" ht="18.75" x14ac:dyDescent="0.3">
      <c r="A54" s="353" t="s">
        <v>1</v>
      </c>
      <c r="B54" s="354" t="s">
        <v>85</v>
      </c>
    </row>
    <row r="55" spans="1:12" ht="18.75" x14ac:dyDescent="0.3">
      <c r="A55" s="279" t="s">
        <v>86</v>
      </c>
      <c r="B55" s="355" t="str">
        <f>B21</f>
        <v>Each tablet contain Sulphamethoxazole B.P 800 mg and Trimethoprim B.P 160 mg.</v>
      </c>
    </row>
    <row r="56" spans="1:12" ht="26.25" customHeight="1" x14ac:dyDescent="0.4">
      <c r="A56" s="356" t="s">
        <v>87</v>
      </c>
      <c r="B56" s="357">
        <v>160</v>
      </c>
      <c r="C56" s="279" t="str">
        <f>B20</f>
        <v>Sulphamethoxazole 800 mg, Trimethoprim 160 mg</v>
      </c>
      <c r="H56" s="358"/>
    </row>
    <row r="57" spans="1:12" ht="18.75" x14ac:dyDescent="0.3">
      <c r="A57" s="355" t="s">
        <v>88</v>
      </c>
      <c r="B57" s="426">
        <f>Uniformity!C46</f>
        <v>1044.5739999999998</v>
      </c>
      <c r="H57" s="358"/>
    </row>
    <row r="58" spans="1:12" ht="19.5" customHeight="1" x14ac:dyDescent="0.3">
      <c r="H58" s="358"/>
    </row>
    <row r="59" spans="1:12" s="12" customFormat="1" ht="27" customHeight="1" thickBot="1" x14ac:dyDescent="0.45">
      <c r="A59" s="302" t="s">
        <v>89</v>
      </c>
      <c r="B59" s="303">
        <v>100</v>
      </c>
      <c r="C59" s="279"/>
      <c r="D59" s="359" t="s">
        <v>90</v>
      </c>
      <c r="E59" s="360" t="s">
        <v>62</v>
      </c>
      <c r="F59" s="360" t="s">
        <v>63</v>
      </c>
      <c r="G59" s="360" t="s">
        <v>91</v>
      </c>
      <c r="H59" s="306" t="s">
        <v>92</v>
      </c>
      <c r="L59" s="292"/>
    </row>
    <row r="60" spans="1:12" s="12" customFormat="1" ht="26.25" customHeight="1" x14ac:dyDescent="0.4">
      <c r="A60" s="304" t="s">
        <v>93</v>
      </c>
      <c r="B60" s="305">
        <v>2</v>
      </c>
      <c r="C60" s="519" t="s">
        <v>94</v>
      </c>
      <c r="D60" s="522">
        <v>1044.76</v>
      </c>
      <c r="E60" s="361">
        <v>1</v>
      </c>
      <c r="F60" s="362">
        <v>5565613</v>
      </c>
      <c r="G60" s="427">
        <f>IF(ISBLANK(F60),"-",(F60/$D$50*$D$47*$B$68)*($B$57/$D$60))</f>
        <v>159.78802784658561</v>
      </c>
      <c r="H60" s="445">
        <f t="shared" ref="H60:H71" si="0">IF(ISBLANK(F60),"-",(G60/$B$56)*100)</f>
        <v>99.867517404116001</v>
      </c>
      <c r="L60" s="292"/>
    </row>
    <row r="61" spans="1:12" s="12" customFormat="1" ht="26.25" customHeight="1" x14ac:dyDescent="0.4">
      <c r="A61" s="304" t="s">
        <v>95</v>
      </c>
      <c r="B61" s="305">
        <v>100</v>
      </c>
      <c r="C61" s="520"/>
      <c r="D61" s="523"/>
      <c r="E61" s="363">
        <v>2</v>
      </c>
      <c r="F61" s="316">
        <v>5561818</v>
      </c>
      <c r="G61" s="428">
        <f>IF(ISBLANK(F61),"-",(F61/$D$50*$D$47*$B$68)*($B$57/$D$60))</f>
        <v>159.67907388847212</v>
      </c>
      <c r="H61" s="446">
        <f t="shared" si="0"/>
        <v>99.799421180295084</v>
      </c>
      <c r="L61" s="292"/>
    </row>
    <row r="62" spans="1:12" s="12" customFormat="1" ht="26.25" customHeight="1" x14ac:dyDescent="0.4">
      <c r="A62" s="304" t="s">
        <v>96</v>
      </c>
      <c r="B62" s="305">
        <v>1</v>
      </c>
      <c r="C62" s="520"/>
      <c r="D62" s="523"/>
      <c r="E62" s="363">
        <v>3</v>
      </c>
      <c r="F62" s="364">
        <v>5559819</v>
      </c>
      <c r="G62" s="428">
        <f>IF(ISBLANK(F62),"-",(F62/$D$50*$D$47*$B$68)*($B$57/$D$60))</f>
        <v>159.62168285757124</v>
      </c>
      <c r="H62" s="446">
        <f t="shared" si="0"/>
        <v>99.763551785982031</v>
      </c>
      <c r="L62" s="292"/>
    </row>
    <row r="63" spans="1:12" ht="27" customHeight="1" thickBot="1" x14ac:dyDescent="0.45">
      <c r="A63" s="304" t="s">
        <v>97</v>
      </c>
      <c r="B63" s="305">
        <v>1</v>
      </c>
      <c r="C63" s="529"/>
      <c r="D63" s="524"/>
      <c r="E63" s="365">
        <v>4</v>
      </c>
      <c r="F63" s="366"/>
      <c r="G63" s="428" t="str">
        <f>IF(ISBLANK(F63),"-",(F63/$D$50*$D$47*$B$68)*($B$57/$D$60))</f>
        <v>-</v>
      </c>
      <c r="H63" s="446" t="str">
        <f t="shared" si="0"/>
        <v>-</v>
      </c>
    </row>
    <row r="64" spans="1:12" ht="26.25" customHeight="1" x14ac:dyDescent="0.4">
      <c r="A64" s="304" t="s">
        <v>98</v>
      </c>
      <c r="B64" s="305">
        <v>1</v>
      </c>
      <c r="C64" s="519" t="s">
        <v>99</v>
      </c>
      <c r="D64" s="522">
        <v>1045.8699999999999</v>
      </c>
      <c r="E64" s="361">
        <v>1</v>
      </c>
      <c r="F64" s="362">
        <v>5600568</v>
      </c>
      <c r="G64" s="427">
        <f>IF(ISBLANK(F64),"-",(F64/$D$50*$D$47*$B$68)*($B$57/$D$64))</f>
        <v>160.62093046731786</v>
      </c>
      <c r="H64" s="445">
        <f t="shared" si="0"/>
        <v>100.38808154207366</v>
      </c>
    </row>
    <row r="65" spans="1:8" ht="26.25" customHeight="1" x14ac:dyDescent="0.4">
      <c r="A65" s="304" t="s">
        <v>100</v>
      </c>
      <c r="B65" s="305">
        <v>1</v>
      </c>
      <c r="C65" s="520"/>
      <c r="D65" s="523"/>
      <c r="E65" s="363">
        <v>2</v>
      </c>
      <c r="F65" s="316">
        <v>5586438</v>
      </c>
      <c r="G65" s="428">
        <f>IF(ISBLANK(F65),"-",(F65/$D$50*$D$47*$B$68)*($B$57/$D$64))</f>
        <v>160.21569054388451</v>
      </c>
      <c r="H65" s="446">
        <f t="shared" si="0"/>
        <v>100.13480658992782</v>
      </c>
    </row>
    <row r="66" spans="1:8" ht="26.25" customHeight="1" x14ac:dyDescent="0.4">
      <c r="A66" s="304" t="s">
        <v>101</v>
      </c>
      <c r="B66" s="305">
        <v>1</v>
      </c>
      <c r="C66" s="520"/>
      <c r="D66" s="523"/>
      <c r="E66" s="363">
        <v>3</v>
      </c>
      <c r="F66" s="316">
        <v>5582487</v>
      </c>
      <c r="G66" s="428">
        <f>IF(ISBLANK(F66),"-",(F66/$D$50*$D$47*$B$68)*($B$57/$D$64))</f>
        <v>160.10237823408372</v>
      </c>
      <c r="H66" s="446">
        <f t="shared" si="0"/>
        <v>100.06398639630231</v>
      </c>
    </row>
    <row r="67" spans="1:8" ht="27" customHeight="1" thickBot="1" x14ac:dyDescent="0.45">
      <c r="A67" s="304" t="s">
        <v>102</v>
      </c>
      <c r="B67" s="305">
        <v>1</v>
      </c>
      <c r="C67" s="529"/>
      <c r="D67" s="524"/>
      <c r="E67" s="365">
        <v>4</v>
      </c>
      <c r="F67" s="366"/>
      <c r="G67" s="444" t="str">
        <f>IF(ISBLANK(F67),"-",(F67/$D$50*$D$47*$B$68)*($B$57/$D$64))</f>
        <v>-</v>
      </c>
      <c r="H67" s="447" t="str">
        <f t="shared" si="0"/>
        <v>-</v>
      </c>
    </row>
    <row r="68" spans="1:8" ht="26.25" customHeight="1" x14ac:dyDescent="0.4">
      <c r="A68" s="304" t="s">
        <v>103</v>
      </c>
      <c r="B68" s="367">
        <f>(B67/B66)*(B65/B64)*(B63/B62)*(B61/B60)*B59</f>
        <v>5000</v>
      </c>
      <c r="C68" s="519" t="s">
        <v>104</v>
      </c>
      <c r="D68" s="522">
        <v>1043.9100000000001</v>
      </c>
      <c r="E68" s="361">
        <v>1</v>
      </c>
      <c r="F68" s="362">
        <v>5546802</v>
      </c>
      <c r="G68" s="427">
        <f>IF(ISBLANK(F68),"-",(F68/$D$50*$D$47*$B$68)*($B$57/$D$68))</f>
        <v>159.37763356436074</v>
      </c>
      <c r="H68" s="446">
        <f t="shared" si="0"/>
        <v>99.61102097772546</v>
      </c>
    </row>
    <row r="69" spans="1:8" ht="27" customHeight="1" thickBot="1" x14ac:dyDescent="0.45">
      <c r="A69" s="351" t="s">
        <v>105</v>
      </c>
      <c r="B69" s="368">
        <f>(D47*B68)/B56*B57</f>
        <v>1044.5739999999998</v>
      </c>
      <c r="C69" s="520"/>
      <c r="D69" s="523"/>
      <c r="E69" s="363">
        <v>2</v>
      </c>
      <c r="F69" s="316">
        <v>5721686</v>
      </c>
      <c r="G69" s="428">
        <f>IF(ISBLANK(F69),"-",(F69/$D$50*$D$47*$B$68)*($B$57/$D$68))</f>
        <v>164.40261878436129</v>
      </c>
      <c r="H69" s="446">
        <f t="shared" si="0"/>
        <v>102.75163674022581</v>
      </c>
    </row>
    <row r="70" spans="1:8" ht="26.25" customHeight="1" x14ac:dyDescent="0.4">
      <c r="A70" s="525" t="s">
        <v>78</v>
      </c>
      <c r="B70" s="526"/>
      <c r="C70" s="520"/>
      <c r="D70" s="523"/>
      <c r="E70" s="363">
        <v>3</v>
      </c>
      <c r="F70" s="316">
        <v>5683780</v>
      </c>
      <c r="G70" s="428">
        <f>IF(ISBLANK(F70),"-",(F70/$D$50*$D$47*$B$68)*($B$57/$D$68))</f>
        <v>163.31345631238361</v>
      </c>
      <c r="H70" s="446">
        <f t="shared" si="0"/>
        <v>102.07091019523975</v>
      </c>
    </row>
    <row r="71" spans="1:8" ht="27" customHeight="1" thickBot="1" x14ac:dyDescent="0.45">
      <c r="A71" s="527"/>
      <c r="B71" s="528"/>
      <c r="C71" s="521"/>
      <c r="D71" s="524"/>
      <c r="E71" s="365">
        <v>4</v>
      </c>
      <c r="F71" s="366"/>
      <c r="G71" s="444" t="str">
        <f>IF(ISBLANK(F71),"-",(F71/$D$50*$D$47*$B$68)*($B$57/$D$68))</f>
        <v>-</v>
      </c>
      <c r="H71" s="447" t="str">
        <f t="shared" si="0"/>
        <v>-</v>
      </c>
    </row>
    <row r="72" spans="1:8" ht="26.25" customHeight="1" x14ac:dyDescent="0.4">
      <c r="A72" s="369"/>
      <c r="B72" s="369"/>
      <c r="C72" s="369"/>
      <c r="D72" s="369"/>
      <c r="E72" s="369"/>
      <c r="F72" s="371" t="s">
        <v>71</v>
      </c>
      <c r="G72" s="433">
        <f>AVERAGE(G60:G71)</f>
        <v>160.79127694433564</v>
      </c>
      <c r="H72" s="448">
        <f>AVERAGE(H60:H71)</f>
        <v>100.49454809020978</v>
      </c>
    </row>
    <row r="73" spans="1:8" ht="26.25" customHeight="1" x14ac:dyDescent="0.4">
      <c r="C73" s="369"/>
      <c r="D73" s="369"/>
      <c r="E73" s="369"/>
      <c r="F73" s="372" t="s">
        <v>84</v>
      </c>
      <c r="G73" s="432">
        <f>STDEV(G60:G71)/G72</f>
        <v>1.1179060923764786E-2</v>
      </c>
      <c r="H73" s="432">
        <f>STDEV(H60:H71)/H72</f>
        <v>1.1179060923764758E-2</v>
      </c>
    </row>
    <row r="74" spans="1:8" ht="27" customHeight="1" x14ac:dyDescent="0.4">
      <c r="A74" s="369"/>
      <c r="B74" s="369"/>
      <c r="C74" s="370"/>
      <c r="D74" s="370"/>
      <c r="E74" s="373"/>
      <c r="F74" s="374" t="s">
        <v>20</v>
      </c>
      <c r="G74" s="375">
        <f>COUNT(G60:G71)</f>
        <v>9</v>
      </c>
      <c r="H74" s="375">
        <f>COUNT(H60:H71)</f>
        <v>9</v>
      </c>
    </row>
    <row r="76" spans="1:8" ht="26.25" customHeight="1" x14ac:dyDescent="0.4">
      <c r="A76" s="288" t="s">
        <v>106</v>
      </c>
      <c r="B76" s="376" t="s">
        <v>107</v>
      </c>
      <c r="C76" s="506" t="str">
        <f>B26</f>
        <v>TRIMETHOPRIM</v>
      </c>
      <c r="D76" s="506"/>
      <c r="E76" s="377" t="s">
        <v>108</v>
      </c>
      <c r="F76" s="377"/>
      <c r="G76" s="464">
        <f>H72</f>
        <v>100.49454809020978</v>
      </c>
      <c r="H76" s="379"/>
    </row>
    <row r="77" spans="1:8" ht="18.75" x14ac:dyDescent="0.3">
      <c r="A77" s="287" t="s">
        <v>109</v>
      </c>
      <c r="B77" s="287" t="s">
        <v>110</v>
      </c>
    </row>
    <row r="78" spans="1:8" ht="18.75" x14ac:dyDescent="0.3">
      <c r="A78" s="287"/>
      <c r="B78" s="287"/>
    </row>
    <row r="79" spans="1:8" ht="26.25" customHeight="1" x14ac:dyDescent="0.4">
      <c r="A79" s="288" t="s">
        <v>4</v>
      </c>
      <c r="B79" s="542" t="str">
        <f>B26</f>
        <v>TRIMETHOPRIM</v>
      </c>
      <c r="C79" s="542"/>
    </row>
    <row r="80" spans="1:8" ht="26.25" customHeight="1" x14ac:dyDescent="0.4">
      <c r="A80" s="289" t="s">
        <v>48</v>
      </c>
      <c r="B80" s="542" t="str">
        <f>B27</f>
        <v>T7-5</v>
      </c>
      <c r="C80" s="542"/>
    </row>
    <row r="81" spans="1:12" ht="27" customHeight="1" x14ac:dyDescent="0.4">
      <c r="A81" s="289" t="s">
        <v>6</v>
      </c>
      <c r="B81" s="380">
        <f>B28</f>
        <v>99.75</v>
      </c>
    </row>
    <row r="82" spans="1:12" s="12" customFormat="1" ht="27" customHeight="1" x14ac:dyDescent="0.4">
      <c r="A82" s="289" t="s">
        <v>49</v>
      </c>
      <c r="B82" s="291">
        <v>0</v>
      </c>
      <c r="C82" s="508" t="s">
        <v>50</v>
      </c>
      <c r="D82" s="509"/>
      <c r="E82" s="509"/>
      <c r="F82" s="509"/>
      <c r="G82" s="510"/>
      <c r="I82" s="292"/>
      <c r="J82" s="292"/>
      <c r="K82" s="292"/>
      <c r="L82" s="292"/>
    </row>
    <row r="83" spans="1:12" s="12" customFormat="1" ht="19.5" customHeight="1" x14ac:dyDescent="0.3">
      <c r="A83" s="289" t="s">
        <v>51</v>
      </c>
      <c r="B83" s="293">
        <f>B81-B82</f>
        <v>99.75</v>
      </c>
      <c r="C83" s="294"/>
      <c r="D83" s="294"/>
      <c r="E83" s="294"/>
      <c r="F83" s="294"/>
      <c r="G83" s="295"/>
      <c r="I83" s="292"/>
      <c r="J83" s="292"/>
      <c r="K83" s="292"/>
      <c r="L83" s="292"/>
    </row>
    <row r="84" spans="1:12" s="12" customFormat="1" ht="27" customHeight="1" x14ac:dyDescent="0.4">
      <c r="A84" s="289" t="s">
        <v>52</v>
      </c>
      <c r="B84" s="296">
        <v>1</v>
      </c>
      <c r="C84" s="511" t="s">
        <v>111</v>
      </c>
      <c r="D84" s="512"/>
      <c r="E84" s="512"/>
      <c r="F84" s="512"/>
      <c r="G84" s="512"/>
      <c r="H84" s="513"/>
      <c r="I84" s="292"/>
      <c r="J84" s="292"/>
      <c r="K84" s="292"/>
      <c r="L84" s="292"/>
    </row>
    <row r="85" spans="1:12" s="12" customFormat="1" ht="27" customHeight="1" x14ac:dyDescent="0.4">
      <c r="A85" s="289" t="s">
        <v>54</v>
      </c>
      <c r="B85" s="296">
        <v>1</v>
      </c>
      <c r="C85" s="511" t="s">
        <v>112</v>
      </c>
      <c r="D85" s="512"/>
      <c r="E85" s="512"/>
      <c r="F85" s="512"/>
      <c r="G85" s="512"/>
      <c r="H85" s="513"/>
      <c r="I85" s="292"/>
      <c r="J85" s="292"/>
      <c r="K85" s="292"/>
      <c r="L85" s="292"/>
    </row>
    <row r="86" spans="1:12" s="12" customFormat="1" ht="18.75" x14ac:dyDescent="0.3">
      <c r="A86" s="289"/>
      <c r="B86" s="299"/>
      <c r="C86" s="300"/>
      <c r="D86" s="300"/>
      <c r="E86" s="300"/>
      <c r="F86" s="300"/>
      <c r="G86" s="300"/>
      <c r="H86" s="300"/>
      <c r="I86" s="292"/>
      <c r="J86" s="292"/>
      <c r="K86" s="292"/>
      <c r="L86" s="292"/>
    </row>
    <row r="87" spans="1:12" s="12" customFormat="1" ht="18.75" x14ac:dyDescent="0.3">
      <c r="A87" s="289" t="s">
        <v>56</v>
      </c>
      <c r="B87" s="301">
        <f>B84/B85</f>
        <v>1</v>
      </c>
      <c r="C87" s="279" t="s">
        <v>57</v>
      </c>
      <c r="D87" s="279"/>
      <c r="E87" s="279"/>
      <c r="F87" s="279"/>
      <c r="G87" s="279"/>
      <c r="I87" s="292"/>
      <c r="J87" s="292"/>
      <c r="K87" s="292"/>
      <c r="L87" s="292"/>
    </row>
    <row r="88" spans="1:12" ht="19.5" customHeight="1" x14ac:dyDescent="0.3">
      <c r="A88" s="287"/>
      <c r="B88" s="287"/>
    </row>
    <row r="89" spans="1:12" ht="27" customHeight="1" x14ac:dyDescent="0.4">
      <c r="A89" s="302" t="s">
        <v>58</v>
      </c>
      <c r="B89" s="303">
        <v>25</v>
      </c>
      <c r="D89" s="381" t="s">
        <v>59</v>
      </c>
      <c r="E89" s="382"/>
      <c r="F89" s="514" t="s">
        <v>60</v>
      </c>
      <c r="G89" s="515"/>
    </row>
    <row r="90" spans="1:12" ht="27" customHeight="1" x14ac:dyDescent="0.4">
      <c r="A90" s="304" t="s">
        <v>61</v>
      </c>
      <c r="B90" s="305">
        <v>4</v>
      </c>
      <c r="C90" s="383" t="s">
        <v>62</v>
      </c>
      <c r="D90" s="307" t="s">
        <v>63</v>
      </c>
      <c r="E90" s="308" t="s">
        <v>64</v>
      </c>
      <c r="F90" s="307" t="s">
        <v>63</v>
      </c>
      <c r="G90" s="384" t="s">
        <v>64</v>
      </c>
      <c r="I90" s="310" t="s">
        <v>65</v>
      </c>
    </row>
    <row r="91" spans="1:12" ht="26.25" customHeight="1" x14ac:dyDescent="0.4">
      <c r="A91" s="304" t="s">
        <v>66</v>
      </c>
      <c r="B91" s="305">
        <v>100</v>
      </c>
      <c r="C91" s="385">
        <v>1</v>
      </c>
      <c r="D91" s="475">
        <v>2527081</v>
      </c>
      <c r="E91" s="312">
        <f>IF(ISBLANK(D91),"-",$D$101/$D$98*D91)</f>
        <v>2923058.193539693</v>
      </c>
      <c r="F91" s="475">
        <v>2891021</v>
      </c>
      <c r="G91" s="313">
        <f>IF(ISBLANK(F91),"-",$D$101/$F$98*F91)</f>
        <v>2974869.5577794891</v>
      </c>
      <c r="I91" s="314"/>
    </row>
    <row r="92" spans="1:12" ht="26.25" customHeight="1" x14ac:dyDescent="0.4">
      <c r="A92" s="304" t="s">
        <v>67</v>
      </c>
      <c r="B92" s="305">
        <v>1</v>
      </c>
      <c r="C92" s="370">
        <v>2</v>
      </c>
      <c r="D92" s="476">
        <v>2533127</v>
      </c>
      <c r="E92" s="317">
        <f>IF(ISBLANK(D92),"-",$D$101/$D$98*D92)</f>
        <v>2930051.56250497</v>
      </c>
      <c r="F92" s="476">
        <v>2906197</v>
      </c>
      <c r="G92" s="318">
        <f>IF(ISBLANK(F92),"-",$D$101/$F$98*F92)</f>
        <v>2990485.7087548235</v>
      </c>
      <c r="I92" s="516">
        <f>ABS((F96/D96*D95)-F95)/D95</f>
        <v>1.9541401546852192E-2</v>
      </c>
    </row>
    <row r="93" spans="1:12" ht="26.25" customHeight="1" x14ac:dyDescent="0.4">
      <c r="A93" s="304" t="s">
        <v>68</v>
      </c>
      <c r="B93" s="305">
        <v>1</v>
      </c>
      <c r="C93" s="370">
        <v>3</v>
      </c>
      <c r="D93" s="476">
        <v>2534444</v>
      </c>
      <c r="E93" s="317">
        <f>IF(ISBLANK(D93),"-",$D$101/$D$98*D93)</f>
        <v>2931574.9278584714</v>
      </c>
      <c r="F93" s="476">
        <v>2888275</v>
      </c>
      <c r="G93" s="318">
        <f>IF(ISBLANK(F93),"-",$D$101/$F$98*F93)</f>
        <v>2972043.9152796036</v>
      </c>
      <c r="I93" s="516"/>
    </row>
    <row r="94" spans="1:12" ht="27" customHeight="1" x14ac:dyDescent="0.4">
      <c r="A94" s="304" t="s">
        <v>69</v>
      </c>
      <c r="B94" s="305">
        <v>1</v>
      </c>
      <c r="C94" s="386">
        <v>4</v>
      </c>
      <c r="D94" s="321"/>
      <c r="E94" s="322" t="str">
        <f>IF(ISBLANK(D94),"-",$D$101/$D$98*D94)</f>
        <v>-</v>
      </c>
      <c r="F94" s="387"/>
      <c r="G94" s="323" t="str">
        <f>IF(ISBLANK(F94),"-",$D$101/$F$98*F94)</f>
        <v>-</v>
      </c>
      <c r="I94" s="324"/>
    </row>
    <row r="95" spans="1:12" ht="27" customHeight="1" x14ac:dyDescent="0.4">
      <c r="A95" s="304" t="s">
        <v>70</v>
      </c>
      <c r="B95" s="305">
        <v>1</v>
      </c>
      <c r="C95" s="388" t="s">
        <v>71</v>
      </c>
      <c r="D95" s="389">
        <f>AVERAGE(D91:D94)</f>
        <v>2531550.6666666665</v>
      </c>
      <c r="E95" s="327">
        <f>AVERAGE(E91:E94)</f>
        <v>2928228.2279677116</v>
      </c>
      <c r="F95" s="390">
        <f>AVERAGE(F91:F94)</f>
        <v>2895164.3333333335</v>
      </c>
      <c r="G95" s="391">
        <f>AVERAGE(G91:G94)</f>
        <v>2979133.0606046389</v>
      </c>
    </row>
    <row r="96" spans="1:12" ht="26.25" customHeight="1" x14ac:dyDescent="0.4">
      <c r="A96" s="304" t="s">
        <v>72</v>
      </c>
      <c r="B96" s="290">
        <v>1</v>
      </c>
      <c r="C96" s="392" t="s">
        <v>113</v>
      </c>
      <c r="D96" s="393">
        <v>19.260000000000002</v>
      </c>
      <c r="E96" s="319"/>
      <c r="F96" s="331">
        <v>21.65</v>
      </c>
    </row>
    <row r="97" spans="1:10" ht="26.25" customHeight="1" x14ac:dyDescent="0.4">
      <c r="A97" s="304" t="s">
        <v>74</v>
      </c>
      <c r="B97" s="290">
        <v>1</v>
      </c>
      <c r="C97" s="394" t="s">
        <v>114</v>
      </c>
      <c r="D97" s="395">
        <f>D96*$B$87</f>
        <v>19.260000000000002</v>
      </c>
      <c r="E97" s="334"/>
      <c r="F97" s="333">
        <f>F96*$B$87</f>
        <v>21.65</v>
      </c>
    </row>
    <row r="98" spans="1:10" ht="19.5" customHeight="1" x14ac:dyDescent="0.3">
      <c r="A98" s="304" t="s">
        <v>76</v>
      </c>
      <c r="B98" s="396">
        <f>(B97/B96)*(B95/B94)*(B93/B92)*(B91/B90)*B89</f>
        <v>625</v>
      </c>
      <c r="C98" s="394" t="s">
        <v>115</v>
      </c>
      <c r="D98" s="397">
        <f>D97*$B$83/100</f>
        <v>19.211850000000002</v>
      </c>
      <c r="E98" s="337"/>
      <c r="F98" s="336">
        <f>F97*$B$83/100</f>
        <v>21.595874999999996</v>
      </c>
    </row>
    <row r="99" spans="1:10" ht="19.5" customHeight="1" x14ac:dyDescent="0.3">
      <c r="A99" s="502" t="s">
        <v>78</v>
      </c>
      <c r="B99" s="517"/>
      <c r="C99" s="394" t="s">
        <v>116</v>
      </c>
      <c r="D99" s="398">
        <f>D98/$B$98</f>
        <v>3.0738960000000003E-2</v>
      </c>
      <c r="E99" s="337"/>
      <c r="F99" s="340">
        <f>F98/$B$98</f>
        <v>3.4553399999999991E-2</v>
      </c>
      <c r="G99" s="399"/>
      <c r="H99" s="329"/>
    </row>
    <row r="100" spans="1:10" ht="19.5" customHeight="1" x14ac:dyDescent="0.3">
      <c r="A100" s="504"/>
      <c r="B100" s="518"/>
      <c r="C100" s="394" t="s">
        <v>80</v>
      </c>
      <c r="D100" s="400">
        <f>$B$56/$B$116</f>
        <v>3.5555555555555556E-2</v>
      </c>
      <c r="F100" s="345"/>
      <c r="G100" s="401"/>
      <c r="H100" s="329"/>
    </row>
    <row r="101" spans="1:10" ht="18.75" x14ac:dyDescent="0.3">
      <c r="C101" s="394" t="s">
        <v>81</v>
      </c>
      <c r="D101" s="395">
        <f>D100*$B$98</f>
        <v>22.222222222222221</v>
      </c>
      <c r="F101" s="345"/>
      <c r="G101" s="399"/>
      <c r="H101" s="329"/>
    </row>
    <row r="102" spans="1:10" ht="19.5" customHeight="1" x14ac:dyDescent="0.3">
      <c r="C102" s="402" t="s">
        <v>82</v>
      </c>
      <c r="D102" s="403">
        <f>D101/B34</f>
        <v>22.222222222222221</v>
      </c>
      <c r="F102" s="349"/>
      <c r="G102" s="399"/>
      <c r="H102" s="329"/>
      <c r="J102" s="404"/>
    </row>
    <row r="103" spans="1:10" ht="18.75" x14ac:dyDescent="0.3">
      <c r="C103" s="405" t="s">
        <v>117</v>
      </c>
      <c r="D103" s="406">
        <f>AVERAGE(E91:E94,G91:G94)</f>
        <v>2953680.6442861757</v>
      </c>
      <c r="F103" s="349"/>
      <c r="G103" s="407"/>
      <c r="H103" s="329"/>
      <c r="J103" s="408"/>
    </row>
    <row r="104" spans="1:10" ht="18.75" x14ac:dyDescent="0.3">
      <c r="C104" s="372" t="s">
        <v>84</v>
      </c>
      <c r="D104" s="409">
        <f>STDEV(E91:E94,G91:G94)/D103</f>
        <v>9.725030674345882E-3</v>
      </c>
      <c r="F104" s="349"/>
      <c r="G104" s="399"/>
      <c r="H104" s="329"/>
      <c r="J104" s="408"/>
    </row>
    <row r="105" spans="1:10" ht="19.5" customHeight="1" x14ac:dyDescent="0.3">
      <c r="C105" s="374" t="s">
        <v>20</v>
      </c>
      <c r="D105" s="410">
        <f>COUNT(E91:E94,G91:G94)</f>
        <v>6</v>
      </c>
      <c r="F105" s="349"/>
      <c r="G105" s="399"/>
      <c r="H105" s="329"/>
      <c r="J105" s="408"/>
    </row>
    <row r="106" spans="1:10" ht="19.5" customHeight="1" x14ac:dyDescent="0.3">
      <c r="A106" s="353"/>
      <c r="B106" s="353"/>
      <c r="C106" s="353"/>
      <c r="D106" s="353"/>
      <c r="E106" s="353"/>
    </row>
    <row r="107" spans="1:10" ht="27" customHeight="1" x14ac:dyDescent="0.4">
      <c r="A107" s="302" t="s">
        <v>118</v>
      </c>
      <c r="B107" s="303">
        <v>900</v>
      </c>
      <c r="C107" s="449" t="s">
        <v>119</v>
      </c>
      <c r="D107" s="449" t="s">
        <v>63</v>
      </c>
      <c r="E107" s="449" t="s">
        <v>120</v>
      </c>
      <c r="F107" s="411" t="s">
        <v>121</v>
      </c>
    </row>
    <row r="108" spans="1:10" ht="26.25" customHeight="1" x14ac:dyDescent="0.4">
      <c r="A108" s="304" t="s">
        <v>122</v>
      </c>
      <c r="B108" s="305">
        <v>10</v>
      </c>
      <c r="C108" s="454">
        <v>1</v>
      </c>
      <c r="D108" s="455">
        <v>2912559</v>
      </c>
      <c r="E108" s="429">
        <f t="shared" ref="E108:E113" si="1">IF(ISBLANK(D108),"-",D108/$D$103*$D$100*$B$116)</f>
        <v>157.77245278750229</v>
      </c>
      <c r="F108" s="456">
        <f t="shared" ref="F108:F113" si="2">IF(ISBLANK(D108), "-", (E108/$B$56)*100)</f>
        <v>98.60778299218893</v>
      </c>
    </row>
    <row r="109" spans="1:10" ht="26.25" customHeight="1" x14ac:dyDescent="0.4">
      <c r="A109" s="304" t="s">
        <v>95</v>
      </c>
      <c r="B109" s="305">
        <v>50</v>
      </c>
      <c r="C109" s="450">
        <v>2</v>
      </c>
      <c r="D109" s="452">
        <v>2910513</v>
      </c>
      <c r="E109" s="430">
        <f t="shared" si="1"/>
        <v>157.66162157742096</v>
      </c>
      <c r="F109" s="457">
        <f t="shared" si="2"/>
        <v>98.538513485888103</v>
      </c>
    </row>
    <row r="110" spans="1:10" ht="26.25" customHeight="1" x14ac:dyDescent="0.4">
      <c r="A110" s="304" t="s">
        <v>96</v>
      </c>
      <c r="B110" s="305">
        <v>1</v>
      </c>
      <c r="C110" s="450">
        <v>3</v>
      </c>
      <c r="D110" s="452">
        <v>2942888</v>
      </c>
      <c r="E110" s="430">
        <f t="shared" si="1"/>
        <v>159.41536567633722</v>
      </c>
      <c r="F110" s="457">
        <f t="shared" si="2"/>
        <v>99.634603547710768</v>
      </c>
    </row>
    <row r="111" spans="1:10" ht="26.25" customHeight="1" x14ac:dyDescent="0.4">
      <c r="A111" s="304" t="s">
        <v>97</v>
      </c>
      <c r="B111" s="305">
        <v>1</v>
      </c>
      <c r="C111" s="450">
        <v>4</v>
      </c>
      <c r="D111" s="452">
        <v>2927289</v>
      </c>
      <c r="E111" s="430">
        <f t="shared" si="1"/>
        <v>158.57037249644549</v>
      </c>
      <c r="F111" s="457">
        <f t="shared" si="2"/>
        <v>99.106482810278436</v>
      </c>
    </row>
    <row r="112" spans="1:10" ht="26.25" customHeight="1" x14ac:dyDescent="0.4">
      <c r="A112" s="304" t="s">
        <v>98</v>
      </c>
      <c r="B112" s="305">
        <v>1</v>
      </c>
      <c r="C112" s="450">
        <v>5</v>
      </c>
      <c r="D112" s="452">
        <v>2866502</v>
      </c>
      <c r="E112" s="430">
        <f t="shared" si="1"/>
        <v>155.27755882723091</v>
      </c>
      <c r="F112" s="457">
        <f t="shared" si="2"/>
        <v>97.048474267019316</v>
      </c>
    </row>
    <row r="113" spans="1:10" ht="27" customHeight="1" x14ac:dyDescent="0.4">
      <c r="A113" s="304" t="s">
        <v>100</v>
      </c>
      <c r="B113" s="305">
        <v>1</v>
      </c>
      <c r="C113" s="451">
        <v>6</v>
      </c>
      <c r="D113" s="453">
        <v>2885045</v>
      </c>
      <c r="E113" s="431">
        <f t="shared" si="1"/>
        <v>156.28202760950751</v>
      </c>
      <c r="F113" s="458">
        <f t="shared" si="2"/>
        <v>97.676267255942193</v>
      </c>
    </row>
    <row r="114" spans="1:10" ht="27" customHeight="1" x14ac:dyDescent="0.4">
      <c r="A114" s="304" t="s">
        <v>101</v>
      </c>
      <c r="B114" s="305">
        <v>1</v>
      </c>
      <c r="C114" s="412"/>
      <c r="D114" s="370"/>
      <c r="E114" s="278"/>
      <c r="F114" s="459"/>
    </row>
    <row r="115" spans="1:10" ht="26.25" customHeight="1" x14ac:dyDescent="0.4">
      <c r="A115" s="304" t="s">
        <v>102</v>
      </c>
      <c r="B115" s="305">
        <v>1</v>
      </c>
      <c r="C115" s="412"/>
      <c r="D115" s="436" t="s">
        <v>71</v>
      </c>
      <c r="E115" s="438">
        <f>AVERAGE(E108:E113)</f>
        <v>157.49656649574072</v>
      </c>
      <c r="F115" s="460">
        <f>AVERAGE(F108:F113)</f>
        <v>98.435354059837948</v>
      </c>
    </row>
    <row r="116" spans="1:10" ht="27" customHeight="1" x14ac:dyDescent="0.4">
      <c r="A116" s="304" t="s">
        <v>103</v>
      </c>
      <c r="B116" s="335">
        <f>(B115/B114)*(B113/B112)*(B111/B110)*(B109/B108)*B107</f>
        <v>4500</v>
      </c>
      <c r="C116" s="413"/>
      <c r="D116" s="437" t="s">
        <v>84</v>
      </c>
      <c r="E116" s="435">
        <f>STDEV(E108:E113)/E115</f>
        <v>9.5609013622081351E-3</v>
      </c>
      <c r="F116" s="414">
        <f>STDEV(F108:F113)/F115</f>
        <v>9.5609013622081664E-3</v>
      </c>
      <c r="I116" s="278"/>
    </row>
    <row r="117" spans="1:10" ht="27" customHeight="1" x14ac:dyDescent="0.4">
      <c r="A117" s="502" t="s">
        <v>78</v>
      </c>
      <c r="B117" s="503"/>
      <c r="C117" s="415"/>
      <c r="D117" s="374" t="s">
        <v>20</v>
      </c>
      <c r="E117" s="440">
        <f>COUNT(E108:E113)</f>
        <v>6</v>
      </c>
      <c r="F117" s="441">
        <f>COUNT(F108:F113)</f>
        <v>6</v>
      </c>
      <c r="I117" s="278"/>
      <c r="J117" s="408"/>
    </row>
    <row r="118" spans="1:10" ht="26.25" customHeight="1" x14ac:dyDescent="0.3">
      <c r="A118" s="504"/>
      <c r="B118" s="505"/>
      <c r="C118" s="278"/>
      <c r="D118" s="439"/>
      <c r="E118" s="530" t="s">
        <v>123</v>
      </c>
      <c r="F118" s="531"/>
      <c r="G118" s="278"/>
      <c r="H118" s="278"/>
      <c r="I118" s="278"/>
    </row>
    <row r="119" spans="1:10" ht="25.5" customHeight="1" x14ac:dyDescent="0.4">
      <c r="A119" s="424"/>
      <c r="B119" s="300"/>
      <c r="C119" s="278"/>
      <c r="D119" s="437" t="s">
        <v>124</v>
      </c>
      <c r="E119" s="442">
        <f>MIN(E108:E113)</f>
        <v>155.27755882723091</v>
      </c>
      <c r="F119" s="461">
        <f>MIN(F108:F113)</f>
        <v>97.048474267019316</v>
      </c>
      <c r="G119" s="278"/>
      <c r="H119" s="278"/>
      <c r="I119" s="278"/>
    </row>
    <row r="120" spans="1:10" ht="24" customHeight="1" x14ac:dyDescent="0.4">
      <c r="A120" s="424"/>
      <c r="B120" s="300"/>
      <c r="C120" s="278"/>
      <c r="D120" s="346" t="s">
        <v>125</v>
      </c>
      <c r="E120" s="443">
        <f>MAX(E108:E113)</f>
        <v>159.41536567633722</v>
      </c>
      <c r="F120" s="462">
        <f>MAX(F108:F113)</f>
        <v>99.634603547710768</v>
      </c>
      <c r="G120" s="278"/>
      <c r="H120" s="278"/>
      <c r="I120" s="278"/>
    </row>
    <row r="121" spans="1:10" ht="27" customHeight="1" x14ac:dyDescent="0.3">
      <c r="A121" s="424"/>
      <c r="B121" s="300"/>
      <c r="C121" s="278"/>
      <c r="D121" s="278"/>
      <c r="E121" s="278"/>
      <c r="F121" s="370"/>
      <c r="G121" s="278"/>
      <c r="H121" s="278"/>
      <c r="I121" s="278"/>
    </row>
    <row r="122" spans="1:10" ht="25.5" customHeight="1" x14ac:dyDescent="0.3">
      <c r="A122" s="424"/>
      <c r="B122" s="300"/>
      <c r="C122" s="278"/>
      <c r="D122" s="278"/>
      <c r="E122" s="278"/>
      <c r="F122" s="370"/>
      <c r="G122" s="278"/>
      <c r="H122" s="278"/>
      <c r="I122" s="278"/>
    </row>
    <row r="123" spans="1:10" ht="18.75" x14ac:dyDescent="0.3">
      <c r="A123" s="424"/>
      <c r="B123" s="300"/>
      <c r="C123" s="278"/>
      <c r="D123" s="278"/>
      <c r="E123" s="278"/>
      <c r="F123" s="370"/>
      <c r="G123" s="278"/>
      <c r="H123" s="278"/>
      <c r="I123" s="278"/>
    </row>
    <row r="124" spans="1:10" ht="45.75" customHeight="1" x14ac:dyDescent="0.65">
      <c r="A124" s="288" t="s">
        <v>106</v>
      </c>
      <c r="B124" s="376" t="s">
        <v>126</v>
      </c>
      <c r="C124" s="506" t="str">
        <f>B26</f>
        <v>TRIMETHOPRIM</v>
      </c>
      <c r="D124" s="506"/>
      <c r="E124" s="377" t="s">
        <v>127</v>
      </c>
      <c r="F124" s="377"/>
      <c r="G124" s="463">
        <f>F115</f>
        <v>98.435354059837948</v>
      </c>
      <c r="H124" s="278"/>
      <c r="I124" s="278"/>
    </row>
    <row r="125" spans="1:10" ht="45.75" customHeight="1" x14ac:dyDescent="0.65">
      <c r="A125" s="288"/>
      <c r="B125" s="376" t="s">
        <v>128</v>
      </c>
      <c r="C125" s="289" t="s">
        <v>129</v>
      </c>
      <c r="D125" s="463">
        <f>MIN(F108:F113)</f>
        <v>97.048474267019316</v>
      </c>
      <c r="E125" s="388" t="s">
        <v>130</v>
      </c>
      <c r="F125" s="463">
        <f>MAX(F108:F113)</f>
        <v>99.634603547710768</v>
      </c>
      <c r="G125" s="378"/>
      <c r="H125" s="278"/>
      <c r="I125" s="278"/>
    </row>
    <row r="126" spans="1:10" ht="19.5" customHeight="1" x14ac:dyDescent="0.3">
      <c r="A126" s="416"/>
      <c r="B126" s="416"/>
      <c r="C126" s="417"/>
      <c r="D126" s="417"/>
      <c r="E126" s="417"/>
      <c r="F126" s="417"/>
      <c r="G126" s="417"/>
      <c r="H126" s="417"/>
    </row>
    <row r="127" spans="1:10" ht="18.75" x14ac:dyDescent="0.3">
      <c r="B127" s="507" t="s">
        <v>26</v>
      </c>
      <c r="C127" s="507"/>
      <c r="E127" s="383" t="s">
        <v>27</v>
      </c>
      <c r="F127" s="418"/>
      <c r="G127" s="507" t="s">
        <v>28</v>
      </c>
      <c r="H127" s="507"/>
    </row>
    <row r="128" spans="1:10" ht="69.95" customHeight="1" x14ac:dyDescent="0.3">
      <c r="A128" s="419" t="s">
        <v>29</v>
      </c>
      <c r="B128" s="420"/>
      <c r="C128" s="420"/>
      <c r="E128" s="420"/>
      <c r="F128" s="278"/>
      <c r="G128" s="421"/>
      <c r="H128" s="421"/>
    </row>
    <row r="129" spans="1:9" ht="69.95" customHeight="1" x14ac:dyDescent="0.3">
      <c r="A129" s="419" t="s">
        <v>30</v>
      </c>
      <c r="B129" s="422"/>
      <c r="C129" s="422"/>
      <c r="E129" s="422"/>
      <c r="F129" s="278"/>
      <c r="G129" s="423"/>
      <c r="H129" s="423"/>
    </row>
    <row r="130" spans="1:9" ht="18.75" x14ac:dyDescent="0.3">
      <c r="A130" s="369"/>
      <c r="B130" s="369"/>
      <c r="C130" s="370"/>
      <c r="D130" s="370"/>
      <c r="E130" s="370"/>
      <c r="F130" s="373"/>
      <c r="G130" s="370"/>
      <c r="H130" s="370"/>
      <c r="I130" s="278"/>
    </row>
    <row r="131" spans="1:9" ht="18.75" x14ac:dyDescent="0.3">
      <c r="A131" s="369"/>
      <c r="B131" s="369"/>
      <c r="C131" s="370"/>
      <c r="D131" s="370"/>
      <c r="E131" s="370"/>
      <c r="F131" s="373"/>
      <c r="G131" s="370"/>
      <c r="H131" s="370"/>
      <c r="I131" s="278"/>
    </row>
    <row r="132" spans="1:9" ht="18.75" x14ac:dyDescent="0.3">
      <c r="A132" s="369"/>
      <c r="B132" s="369"/>
      <c r="C132" s="370"/>
      <c r="D132" s="370"/>
      <c r="E132" s="370"/>
      <c r="F132" s="373"/>
      <c r="G132" s="370"/>
      <c r="H132" s="370"/>
      <c r="I132" s="278"/>
    </row>
    <row r="133" spans="1:9" ht="18.75" x14ac:dyDescent="0.3">
      <c r="A133" s="369"/>
      <c r="B133" s="369"/>
      <c r="C133" s="370"/>
      <c r="D133" s="370"/>
      <c r="E133" s="370"/>
      <c r="F133" s="373"/>
      <c r="G133" s="370"/>
      <c r="H133" s="370"/>
      <c r="I133" s="278"/>
    </row>
    <row r="134" spans="1:9" ht="18.75" x14ac:dyDescent="0.3">
      <c r="A134" s="369"/>
      <c r="B134" s="369"/>
      <c r="C134" s="370"/>
      <c r="D134" s="370"/>
      <c r="E134" s="370"/>
      <c r="F134" s="373"/>
      <c r="G134" s="370"/>
      <c r="H134" s="370"/>
      <c r="I134" s="278"/>
    </row>
    <row r="135" spans="1:9" ht="18.75" x14ac:dyDescent="0.3">
      <c r="A135" s="369"/>
      <c r="B135" s="369"/>
      <c r="C135" s="370"/>
      <c r="D135" s="370"/>
      <c r="E135" s="370"/>
      <c r="F135" s="373"/>
      <c r="G135" s="370"/>
      <c r="H135" s="370"/>
      <c r="I135" s="278"/>
    </row>
    <row r="136" spans="1:9" ht="18.75" x14ac:dyDescent="0.3">
      <c r="A136" s="369"/>
      <c r="B136" s="369"/>
      <c r="C136" s="370"/>
      <c r="D136" s="370"/>
      <c r="E136" s="370"/>
      <c r="F136" s="373"/>
      <c r="G136" s="370"/>
      <c r="H136" s="370"/>
      <c r="I136" s="278"/>
    </row>
    <row r="137" spans="1:9" ht="18.75" x14ac:dyDescent="0.3">
      <c r="A137" s="369"/>
      <c r="B137" s="369"/>
      <c r="C137" s="370"/>
      <c r="D137" s="370"/>
      <c r="E137" s="370"/>
      <c r="F137" s="373"/>
      <c r="G137" s="370"/>
      <c r="H137" s="370"/>
      <c r="I137" s="278"/>
    </row>
    <row r="138" spans="1:9" ht="18.75" x14ac:dyDescent="0.3">
      <c r="A138" s="369"/>
      <c r="B138" s="369"/>
      <c r="C138" s="370"/>
      <c r="D138" s="370"/>
      <c r="E138" s="370"/>
      <c r="F138" s="373"/>
      <c r="G138" s="370"/>
      <c r="H138" s="370"/>
      <c r="I138" s="27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SST SULFATHOXAZOLE</vt:lpstr>
      <vt:lpstr>SST TRIMETHOPRIM</vt:lpstr>
      <vt:lpstr>Uniformity</vt:lpstr>
      <vt:lpstr>SULFAMETHOXAZOLE</vt:lpstr>
      <vt:lpstr>TRIMETHOPRIM</vt:lpstr>
      <vt:lpstr>Uniformity!Print_Area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Paul Njaria</cp:lastModifiedBy>
  <cp:lastPrinted>2018-05-02T15:43:51Z</cp:lastPrinted>
  <dcterms:created xsi:type="dcterms:W3CDTF">2005-07-05T10:19:27Z</dcterms:created>
  <dcterms:modified xsi:type="dcterms:W3CDTF">2018-05-09T05:38:24Z</dcterms:modified>
</cp:coreProperties>
</file>