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tenofovir disoproxyl fumarate 1" sheetId="4" r:id="rId3"/>
  </sheets>
  <definedNames>
    <definedName name="_xlnm.Print_Area" localSheetId="1">Uniformity!$A$12:$N$58</definedName>
  </definedNames>
  <calcPr calcId="145621"/>
</workbook>
</file>

<file path=xl/calcChain.xml><?xml version="1.0" encoding="utf-8"?>
<calcChain xmlns="http://schemas.openxmlformats.org/spreadsheetml/2006/main">
  <c r="C124" i="4" l="1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F45" i="4" s="1"/>
  <c r="B30" i="4"/>
  <c r="C46" i="2"/>
  <c r="B57" i="4" s="1"/>
  <c r="C45" i="2"/>
  <c r="D41" i="2"/>
  <c r="D40" i="2"/>
  <c r="D37" i="2"/>
  <c r="D36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I92" i="4"/>
  <c r="F46" i="4"/>
  <c r="F98" i="4"/>
  <c r="F99" i="4" s="1"/>
  <c r="I39" i="4"/>
  <c r="G39" i="4"/>
  <c r="G40" i="4"/>
  <c r="D49" i="4"/>
  <c r="G38" i="4"/>
  <c r="G41" i="4"/>
  <c r="D102" i="4"/>
  <c r="B69" i="4"/>
  <c r="D27" i="2"/>
  <c r="D31" i="2"/>
  <c r="D35" i="2"/>
  <c r="D39" i="2"/>
  <c r="D43" i="2"/>
  <c r="C49" i="2"/>
  <c r="D97" i="4"/>
  <c r="D98" i="4" s="1"/>
  <c r="D99" i="4" s="1"/>
  <c r="D49" i="2"/>
  <c r="D44" i="4"/>
  <c r="D45" i="4" s="1"/>
  <c r="D46" i="4" s="1"/>
  <c r="C50" i="2"/>
  <c r="D26" i="2"/>
  <c r="D30" i="2"/>
  <c r="D34" i="2"/>
  <c r="D38" i="2"/>
  <c r="D42" i="2"/>
  <c r="B49" i="2"/>
  <c r="D50" i="2"/>
  <c r="G92" i="4" l="1"/>
  <c r="G93" i="4"/>
  <c r="G91" i="4"/>
  <c r="G94" i="4"/>
  <c r="G42" i="4"/>
  <c r="E92" i="4"/>
  <c r="E94" i="4"/>
  <c r="E39" i="4"/>
  <c r="E91" i="4"/>
  <c r="E40" i="4"/>
  <c r="E93" i="4"/>
  <c r="E38" i="4"/>
  <c r="E41" i="4"/>
  <c r="G95" i="4" l="1"/>
  <c r="D103" i="4"/>
  <c r="E95" i="4"/>
  <c r="D105" i="4"/>
  <c r="D50" i="4"/>
  <c r="E42" i="4"/>
  <c r="D52" i="4"/>
  <c r="D51" i="4" l="1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20" i="4" l="1"/>
  <c r="E117" i="4"/>
  <c r="F108" i="4"/>
  <c r="E115" i="4"/>
  <c r="E116" i="4" s="1"/>
  <c r="E119" i="4"/>
  <c r="G74" i="4"/>
  <c r="G72" i="4"/>
  <c r="G73" i="4" s="1"/>
  <c r="H60" i="4"/>
  <c r="F125" i="4" l="1"/>
  <c r="F120" i="4"/>
  <c r="F117" i="4"/>
  <c r="D125" i="4"/>
  <c r="F115" i="4"/>
  <c r="F119" i="4"/>
  <c r="H74" i="4"/>
  <c r="H72" i="4"/>
  <c r="G76" i="4" l="1"/>
  <c r="H73" i="4"/>
  <c r="G124" i="4"/>
  <c r="F116" i="4"/>
</calcChain>
</file>

<file path=xl/sharedStrings.xml><?xml version="1.0" encoding="utf-8"?>
<sst xmlns="http://schemas.openxmlformats.org/spreadsheetml/2006/main" count="242" uniqueCount="135">
  <si>
    <t>HPLC System Suitability Report</t>
  </si>
  <si>
    <t>Analysis Data</t>
  </si>
  <si>
    <t>Assay</t>
  </si>
  <si>
    <t>Sample(s)</t>
  </si>
  <si>
    <t>Reference Substance:</t>
  </si>
  <si>
    <t>VIREAD(TM) TABLETS</t>
  </si>
  <si>
    <t>% age Purity:</t>
  </si>
  <si>
    <t>NDQB201805397</t>
  </si>
  <si>
    <t>Weight (mg):</t>
  </si>
  <si>
    <t xml:space="preserve">Tenofovir Disoproxil Fumarate 300 mg </t>
  </si>
  <si>
    <t>Standard Conc (mg/mL):</t>
  </si>
  <si>
    <t>Each tablet contains 300 mg of Tenofovir Disoproxil Fumarate, which is equivalent to 245 mg of Tenofovir Disoproxil.</t>
  </si>
  <si>
    <t>2018-05-07 09:59:21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</si>
  <si>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</si>
  <si>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</si>
  <si>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</si>
  <si>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</si>
  <si>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</si>
  <si>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</si>
  <si>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</si>
  <si>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</si>
  <si>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</si>
  <si>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</si>
  <si>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</si>
  <si>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</si>
  <si>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</si>
  <si>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</si>
  <si>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</si>
  <si>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</si>
  <si>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</si>
  <si>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</si>
  <si>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</si>
  <si>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</si>
  <si>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</si>
  <si>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</si>
  <si>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</si>
  <si>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</si>
  <si>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</si>
  <si>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</si>
  <si>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</si>
  <si>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</si>
  <si>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</si>
  <si>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</si>
  <si>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</si>
  <si>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</si>
  <si>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</si>
  <si>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</si>
  <si>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</si>
  <si>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</si>
  <si>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</si>
  <si>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</si>
  <si>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</si>
  <si>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</si>
  <si>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</si>
  <si>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</si>
  <si>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</si>
  <si>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</si>
  <si>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</si>
  <si>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</si>
  <si>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</si>
  <si>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</si>
  <si>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</si>
  <si>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</si>
  <si>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</si>
  <si>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</si>
  <si>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</si>
  <si>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</si>
  <si>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</si>
  <si>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</si>
  <si>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</si>
  <si>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</si>
  <si>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</si>
  <si>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</si>
  <si>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</si>
  <si>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</si>
  <si>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</si>
  <si>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</si>
  <si>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</si>
  <si>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</si>
  <si>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</si>
  <si>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</si>
  <si>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</si>
  <si>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</si>
  <si>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</si>
  <si>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</si>
  <si>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</si>
  <si>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</si>
  <si>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</si>
  <si>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</si>
  <si>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If correction for water content is not needed please enter 0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</si>
  <si>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</si>
  <si>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</si>
  <si>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</si>
  <si>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</si>
  <si>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</si>
  <si>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</si>
  <si>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</si>
  <si>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</si>
  <si>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</si>
  <si>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</si>
  <si>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</si>
  <si>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</si>
  <si>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</si>
  <si>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</si>
  <si>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</si>
  <si>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</si>
  <si>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</si>
  <si>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</si>
  <si>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</si>
  <si>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</si>
  <si>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</si>
  <si>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</si>
  <si>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</si>
  <si>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</si>
  <si>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</si>
  <si>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</si>
  <si>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</si>
  <si>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</si>
  <si>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</si>
  <si>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</si>
  <si>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</si>
  <si>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</si>
  <si>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</si>
  <si>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</si>
  <si>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</si>
  <si>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</si>
  <si>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</si>
  <si>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</si>
  <si>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</si>
  <si>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</si>
  <si>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</si>
  <si>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tenofovir disoproxil fumarate</t>
  </si>
  <si>
    <t>T11-10</t>
  </si>
  <si>
    <t>9THMAY2018</t>
  </si>
  <si>
    <t>10THMAY2019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</si>
</sst>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0.0\ &quot;%&quot;"/>
    <numFmt numFmtId="173" formatCode="0.0\ &quot;mg&quot;"/>
    <numFmt numFmtId="174" formatCode="0.0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1" fillId="3" borderId="0" xfId="0" applyFont="1" applyFill="1" applyProtection="1"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right"/>
    </xf>
    <xf numFmtId="0" fontId="14" fillId="3" borderId="30" xfId="0" applyFont="1" applyFill="1" applyBorder="1" applyAlignment="1" applyProtection="1">
      <alignment horizontal="center"/>
      <protection locked="0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27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1" fillId="2" borderId="30" xfId="0" applyFont="1" applyFill="1" applyBorder="1" applyAlignment="1">
      <alignment horizontal="center"/>
    </xf>
    <xf numFmtId="0" fontId="14" fillId="3" borderId="22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23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170" fontId="11" fillId="2" borderId="34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30" xfId="0" applyFont="1" applyFill="1" applyBorder="1" applyAlignment="1">
      <alignment horizontal="right"/>
    </xf>
    <xf numFmtId="1" fontId="12" fillId="6" borderId="36" xfId="0" applyNumberFormat="1" applyFont="1" applyFill="1" applyBorder="1" applyAlignment="1">
      <alignment horizontal="center"/>
    </xf>
    <xf numFmtId="170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0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4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3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0" fontId="13" fillId="2" borderId="30" xfId="0" applyFont="1" applyFill="1" applyBorder="1" applyAlignment="1">
      <alignment horizontal="center"/>
    </xf>
    <xf numFmtId="2" fontId="13" fillId="2" borderId="4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4" fillId="7" borderId="52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4" fillId="3" borderId="33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3" xfId="0" applyNumberFormat="1" applyFont="1" applyFill="1" applyBorder="1" applyAlignment="1">
      <alignment horizontal="center"/>
    </xf>
    <xf numFmtId="1" fontId="12" fillId="6" borderId="47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4" fillId="3" borderId="48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4" xfId="0" applyNumberFormat="1" applyFont="1" applyFill="1" applyBorder="1" applyAlignment="1">
      <alignment horizontal="center"/>
    </xf>
    <xf numFmtId="166" fontId="11" fillId="6" borderId="44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 wrapText="1"/>
    </xf>
    <xf numFmtId="0" fontId="11" fillId="2" borderId="22" xfId="0" applyFont="1" applyFill="1" applyBorder="1" applyAlignment="1">
      <alignment horizontal="center"/>
    </xf>
    <xf numFmtId="0" fontId="11" fillId="2" borderId="22" xfId="0" applyFont="1" applyFill="1" applyBorder="1"/>
    <xf numFmtId="10" fontId="14" fillId="6" borderId="44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4" fillId="6" borderId="55" xfId="0" applyNumberFormat="1" applyFont="1" applyFill="1" applyBorder="1" applyAlignment="1">
      <alignment horizontal="center"/>
    </xf>
    <xf numFmtId="2" fontId="14" fillId="7" borderId="32" xfId="0" applyNumberFormat="1" applyFont="1" applyFill="1" applyBorder="1" applyAlignment="1">
      <alignment horizontal="center"/>
    </xf>
    <xf numFmtId="0" fontId="13" fillId="2" borderId="0" xfId="0" applyFont="1" applyFill="1"/>
    <xf numFmtId="10" fontId="14" fillId="6" borderId="55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4" fillId="7" borderId="5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4" fillId="7" borderId="28" xfId="0" applyFont="1" applyFill="1" applyBorder="1" applyAlignment="1">
      <alignment horizontal="center"/>
    </xf>
    <xf numFmtId="0" fontId="14" fillId="7" borderId="56" xfId="0" applyFont="1" applyFill="1" applyBorder="1" applyAlignment="1">
      <alignment horizontal="center"/>
    </xf>
    <xf numFmtId="2" fontId="14" fillId="6" borderId="55" xfId="0" applyNumberFormat="1" applyFont="1" applyFill="1" applyBorder="1" applyAlignment="1">
      <alignment horizontal="center"/>
    </xf>
    <xf numFmtId="2" fontId="14" fillId="7" borderId="52" xfId="0" applyNumberFormat="1" applyFont="1" applyFill="1" applyBorder="1" applyAlignment="1">
      <alignment horizontal="center"/>
    </xf>
    <xf numFmtId="166" fontId="11" fillId="2" borderId="42" xfId="0" applyNumberFormat="1" applyFont="1" applyFill="1" applyBorder="1" applyAlignment="1">
      <alignment horizontal="center"/>
    </xf>
    <xf numFmtId="174" fontId="11" fillId="2" borderId="13" xfId="0" applyNumberFormat="1" applyFont="1" applyFill="1" applyBorder="1" applyAlignment="1">
      <alignment horizontal="center" vertical="center"/>
    </xf>
    <xf numFmtId="174" fontId="11" fillId="2" borderId="14" xfId="0" applyNumberFormat="1" applyFont="1" applyFill="1" applyBorder="1" applyAlignment="1">
      <alignment horizontal="center" vertical="center"/>
    </xf>
    <xf numFmtId="174" fontId="11" fillId="2" borderId="15" xfId="0" applyNumberFormat="1" applyFont="1" applyFill="1" applyBorder="1" applyAlignment="1">
      <alignment horizontal="center" vertical="center"/>
    </xf>
    <xf numFmtId="174" fontId="14" fillId="7" borderId="32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4" fontId="11" fillId="2" borderId="24" xfId="0" applyNumberFormat="1" applyFont="1" applyFill="1" applyBorder="1" applyAlignment="1">
      <alignment horizontal="center"/>
    </xf>
    <xf numFmtId="174" fontId="11" fillId="2" borderId="30" xfId="0" applyNumberFormat="1" applyFont="1" applyFill="1" applyBorder="1" applyAlignment="1">
      <alignment horizontal="center"/>
    </xf>
    <xf numFmtId="174" fontId="11" fillId="2" borderId="43" xfId="0" applyNumberFormat="1" applyFont="1" applyFill="1" applyBorder="1" applyAlignment="1">
      <alignment horizontal="center"/>
    </xf>
    <xf numFmtId="174" fontId="11" fillId="2" borderId="30" xfId="0" applyNumberFormat="1" applyFont="1" applyFill="1" applyBorder="1" applyAlignment="1">
      <alignment horizontal="center"/>
    </xf>
    <xf numFmtId="171" fontId="14" fillId="7" borderId="48" xfId="0" applyNumberFormat="1" applyFont="1" applyFill="1" applyBorder="1" applyAlignment="1">
      <alignment horizontal="center"/>
    </xf>
    <xf numFmtId="171" fontId="14" fillId="6" borderId="55" xfId="0" applyNumberFormat="1" applyFont="1" applyFill="1" applyBorder="1" applyAlignment="1">
      <alignment horizontal="center"/>
    </xf>
    <xf numFmtId="171" fontId="14" fillId="7" borderId="52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4" fillId="2" borderId="0" xfId="0" applyNumberFormat="1" applyFont="1" applyFill="1" applyAlignment="1">
      <alignment horizontal="center"/>
    </xf>
    <xf numFmtId="166" fontId="14" fillId="3" borderId="13" xfId="0" applyNumberFormat="1" applyFont="1" applyFill="1" applyBorder="1" applyAlignment="1" applyProtection="1">
      <alignment horizontal="center"/>
      <protection locked="0"/>
    </xf>
    <xf numFmtId="166" fontId="14" fillId="3" borderId="14" xfId="0" applyNumberFormat="1" applyFont="1" applyFill="1" applyBorder="1" applyAlignment="1" applyProtection="1">
      <alignment horizontal="center"/>
      <protection locked="0"/>
    </xf>
    <xf numFmtId="166" fontId="14" fillId="3" borderId="15" xfId="0" applyNumberFormat="1" applyFont="1" applyFill="1" applyBorder="1" applyAlignment="1" applyProtection="1">
      <alignment horizontal="center"/>
      <protection locked="0"/>
    </xf>
    <xf numFmtId="170" fontId="14" fillId="3" borderId="29" xfId="0" applyNumberFormat="1" applyFont="1" applyFill="1" applyBorder="1" applyAlignment="1" applyProtection="1">
      <alignment horizontal="center"/>
      <protection locked="0"/>
    </xf>
    <xf numFmtId="170" fontId="14" fillId="3" borderId="22" xfId="0" applyNumberFormat="1" applyFont="1" applyFill="1" applyBorder="1" applyAlignment="1" applyProtection="1">
      <alignment horizontal="center"/>
      <protection locked="0"/>
    </xf>
    <xf numFmtId="170" fontId="14" fillId="3" borderId="2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5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10" fontId="21" fillId="2" borderId="14" xfId="0" applyNumberFormat="1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2" fillId="2" borderId="39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5"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8" t="s">
        <v>0</v>
      </c>
      <c r="B15" s="288"/>
      <c r="C15" s="288"/>
      <c r="D15" s="288"/>
      <c r="E15" s="28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9" t="s">
        <v>26</v>
      </c>
      <c r="C59" s="28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9" workbookViewId="0">
      <selection activeCell="F17" sqref="F1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3" t="s">
        <v>31</v>
      </c>
      <c r="B11" s="294"/>
      <c r="C11" s="294"/>
      <c r="D11" s="294"/>
      <c r="E11" s="294"/>
      <c r="F11" s="295"/>
      <c r="G11" s="91"/>
    </row>
    <row r="12" spans="1:7" ht="16.5" customHeight="1" x14ac:dyDescent="0.3">
      <c r="A12" s="292" t="s">
        <v>32</v>
      </c>
      <c r="B12" s="292"/>
      <c r="C12" s="292"/>
      <c r="D12" s="292"/>
      <c r="E12" s="292"/>
      <c r="F12" s="292"/>
      <c r="G12" s="90"/>
    </row>
    <row r="14" spans="1:7" ht="16.5" customHeight="1" x14ac:dyDescent="0.3">
      <c r="A14" s="297" t="s">
        <v>33</v>
      </c>
      <c r="B14" s="297"/>
      <c r="C14" s="60" t="s">
        <v>5</v>
      </c>
    </row>
    <row r="15" spans="1:7" ht="16.5" customHeight="1" x14ac:dyDescent="0.3">
      <c r="A15" s="297" t="s">
        <v>34</v>
      </c>
      <c r="B15" s="297"/>
      <c r="C15" s="60" t="s">
        <v>7</v>
      </c>
    </row>
    <row r="16" spans="1:7" ht="16.5" customHeight="1" x14ac:dyDescent="0.3">
      <c r="A16" s="297" t="s">
        <v>35</v>
      </c>
      <c r="B16" s="297"/>
      <c r="C16" s="60" t="s">
        <v>9</v>
      </c>
    </row>
    <row r="17" spans="1:5" ht="16.5" customHeight="1" x14ac:dyDescent="0.3">
      <c r="A17" s="297" t="s">
        <v>36</v>
      </c>
      <c r="B17" s="297"/>
      <c r="C17" s="60" t="s">
        <v>11</v>
      </c>
    </row>
    <row r="18" spans="1:5" ht="16.5" customHeight="1" x14ac:dyDescent="0.3">
      <c r="A18" s="297" t="s">
        <v>37</v>
      </c>
      <c r="B18" s="297"/>
      <c r="C18" s="97" t="s">
        <v>12</v>
      </c>
    </row>
    <row r="19" spans="1:5" ht="16.5" customHeight="1" x14ac:dyDescent="0.3">
      <c r="A19" s="297" t="s">
        <v>38</v>
      </c>
      <c r="B19" s="29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2" t="s">
        <v>1</v>
      </c>
      <c r="B21" s="292"/>
      <c r="C21" s="59" t="s">
        <v>39</v>
      </c>
      <c r="D21" s="66"/>
    </row>
    <row r="22" spans="1:5" ht="15.75" customHeight="1" x14ac:dyDescent="0.3">
      <c r="A22" s="296"/>
      <c r="B22" s="296"/>
      <c r="C22" s="57"/>
      <c r="D22" s="296"/>
      <c r="E22" s="29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696.75</v>
      </c>
      <c r="D24" s="87">
        <f t="shared" ref="D24:D43" si="0">(C24-$C$46)/$C$46</f>
        <v>5.8822637728635878E-3</v>
      </c>
      <c r="E24" s="53"/>
    </row>
    <row r="25" spans="1:5" ht="15.75" customHeight="1" x14ac:dyDescent="0.3">
      <c r="C25" s="95">
        <v>704.91</v>
      </c>
      <c r="D25" s="88">
        <f t="shared" si="0"/>
        <v>1.7662671770547887E-2</v>
      </c>
      <c r="E25" s="53"/>
    </row>
    <row r="26" spans="1:5" ht="15.75" customHeight="1" x14ac:dyDescent="0.3">
      <c r="C26" s="95">
        <v>682.88</v>
      </c>
      <c r="D26" s="88">
        <f t="shared" si="0"/>
        <v>-1.414154246829841E-2</v>
      </c>
      <c r="E26" s="53"/>
    </row>
    <row r="27" spans="1:5" ht="15.75" customHeight="1" x14ac:dyDescent="0.3">
      <c r="C27" s="95">
        <v>694.09</v>
      </c>
      <c r="D27" s="88">
        <f t="shared" si="0"/>
        <v>2.0420817540106489E-3</v>
      </c>
      <c r="E27" s="53"/>
    </row>
    <row r="28" spans="1:5" ht="15.75" customHeight="1" x14ac:dyDescent="0.3">
      <c r="C28" s="95">
        <v>691.36</v>
      </c>
      <c r="D28" s="88">
        <f t="shared" si="0"/>
        <v>-1.899157686391125E-3</v>
      </c>
      <c r="E28" s="53"/>
    </row>
    <row r="29" spans="1:5" ht="15.75" customHeight="1" x14ac:dyDescent="0.3">
      <c r="C29" s="95">
        <v>688.94</v>
      </c>
      <c r="D29" s="88">
        <f t="shared" si="0"/>
        <v>-5.3928571170768639E-3</v>
      </c>
      <c r="E29" s="53"/>
    </row>
    <row r="30" spans="1:5" ht="15.75" customHeight="1" x14ac:dyDescent="0.3">
      <c r="C30" s="95">
        <v>685.17</v>
      </c>
      <c r="D30" s="88">
        <f t="shared" si="0"/>
        <v>-1.0835521106203224E-2</v>
      </c>
      <c r="E30" s="53"/>
    </row>
    <row r="31" spans="1:5" ht="15.75" customHeight="1" x14ac:dyDescent="0.3">
      <c r="C31" s="95">
        <v>690.63</v>
      </c>
      <c r="D31" s="88">
        <f t="shared" si="0"/>
        <v>-2.9530422253996771E-3</v>
      </c>
      <c r="E31" s="53"/>
    </row>
    <row r="32" spans="1:5" ht="15.75" customHeight="1" x14ac:dyDescent="0.3">
      <c r="C32" s="95">
        <v>706.22</v>
      </c>
      <c r="D32" s="88">
        <f t="shared" si="0"/>
        <v>1.955388923096053E-2</v>
      </c>
      <c r="E32" s="53"/>
    </row>
    <row r="33" spans="1:7" ht="15.75" customHeight="1" x14ac:dyDescent="0.3">
      <c r="C33" s="95">
        <v>693.07</v>
      </c>
      <c r="D33" s="88">
        <f t="shared" si="0"/>
        <v>5.6953075430013207E-4</v>
      </c>
      <c r="E33" s="53"/>
    </row>
    <row r="34" spans="1:7" ht="15.75" customHeight="1" x14ac:dyDescent="0.3">
      <c r="C34" s="95">
        <v>692.98</v>
      </c>
      <c r="D34" s="88">
        <f t="shared" si="0"/>
        <v>4.3959978373739111E-4</v>
      </c>
      <c r="E34" s="53"/>
    </row>
    <row r="35" spans="1:7" ht="15.75" customHeight="1" x14ac:dyDescent="0.3">
      <c r="C35" s="95">
        <v>686.8</v>
      </c>
      <c r="D35" s="88">
        <f t="shared" si="0"/>
        <v>-8.4823268615677565E-3</v>
      </c>
      <c r="E35" s="53"/>
    </row>
    <row r="36" spans="1:7" ht="15.75" customHeight="1" x14ac:dyDescent="0.3">
      <c r="C36" s="95">
        <v>693.4</v>
      </c>
      <c r="D36" s="88">
        <f t="shared" si="0"/>
        <v>1.0459443130299085E-3</v>
      </c>
      <c r="E36" s="53"/>
    </row>
    <row r="37" spans="1:7" ht="15.75" customHeight="1" x14ac:dyDescent="0.3">
      <c r="C37" s="95">
        <v>692.05</v>
      </c>
      <c r="D37" s="88">
        <f t="shared" si="0"/>
        <v>-9.0302024541054891E-4</v>
      </c>
      <c r="E37" s="53"/>
    </row>
    <row r="38" spans="1:7" ht="15.75" customHeight="1" x14ac:dyDescent="0.3">
      <c r="C38" s="95">
        <v>689.69</v>
      </c>
      <c r="D38" s="88">
        <f t="shared" si="0"/>
        <v>-4.310099029054406E-3</v>
      </c>
      <c r="E38" s="53"/>
    </row>
    <row r="39" spans="1:7" ht="15.75" customHeight="1" x14ac:dyDescent="0.3">
      <c r="C39" s="95">
        <v>689.56</v>
      </c>
      <c r="D39" s="88">
        <f t="shared" si="0"/>
        <v>-4.4977770976451226E-3</v>
      </c>
      <c r="E39" s="53"/>
    </row>
    <row r="40" spans="1:7" ht="15.75" customHeight="1" x14ac:dyDescent="0.3">
      <c r="C40" s="95">
        <v>686.57</v>
      </c>
      <c r="D40" s="88">
        <f t="shared" si="0"/>
        <v>-8.8143726752278381E-3</v>
      </c>
      <c r="E40" s="53"/>
    </row>
    <row r="41" spans="1:7" ht="15.75" customHeight="1" x14ac:dyDescent="0.3">
      <c r="C41" s="95">
        <v>704.14</v>
      </c>
      <c r="D41" s="88">
        <f t="shared" si="0"/>
        <v>1.6551040133511521E-2</v>
      </c>
      <c r="E41" s="53"/>
    </row>
    <row r="42" spans="1:7" ht="15.75" customHeight="1" x14ac:dyDescent="0.3">
      <c r="C42" s="95">
        <v>689.92</v>
      </c>
      <c r="D42" s="88">
        <f t="shared" si="0"/>
        <v>-3.9780532153943235E-3</v>
      </c>
      <c r="E42" s="53"/>
    </row>
    <row r="43" spans="1:7" ht="16.5" customHeight="1" x14ac:dyDescent="0.3">
      <c r="C43" s="96">
        <v>694.38</v>
      </c>
      <c r="D43" s="89">
        <f t="shared" si="0"/>
        <v>2.4607482147126136E-3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13853.509999999997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692.67549999999983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0">
        <f>C46</f>
        <v>692.67549999999983</v>
      </c>
      <c r="C49" s="93">
        <f>-IF(C46&lt;=80,10%,IF(C46&lt;250,7.5%,5%))</f>
        <v>-0.05</v>
      </c>
      <c r="D49" s="81">
        <f>IF(C46&lt;=80,C46*0.9,IF(C46&lt;250,C46*0.925,C46*0.95))</f>
        <v>658.04172499999981</v>
      </c>
    </row>
    <row r="50" spans="1:6" ht="17.25" customHeight="1" x14ac:dyDescent="0.3">
      <c r="B50" s="291"/>
      <c r="C50" s="94">
        <f>IF(C46&lt;=80, 10%, IF(C46&lt;250, 7.5%, 5%))</f>
        <v>0.05</v>
      </c>
      <c r="D50" s="81">
        <f>IF(C46&lt;=80, C46*1.1, IF(C46&lt;250, C46*1.075, C46*1.05))</f>
        <v>727.30927499999984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1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7" zoomScale="46" zoomScaleNormal="40" zoomScalePageLayoutView="46" workbookViewId="0">
      <selection activeCell="B114" sqref="B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8" t="s">
        <v>45</v>
      </c>
      <c r="B1" s="298"/>
      <c r="C1" s="298"/>
      <c r="D1" s="298"/>
      <c r="E1" s="298"/>
      <c r="F1" s="298"/>
      <c r="G1" s="298"/>
      <c r="H1" s="298"/>
      <c r="I1" s="298"/>
    </row>
    <row r="2" spans="1:9" ht="18.75" customHeight="1" x14ac:dyDescent="0.25">
      <c r="A2" s="298"/>
      <c r="B2" s="298"/>
      <c r="C2" s="298"/>
      <c r="D2" s="298"/>
      <c r="E2" s="298"/>
      <c r="F2" s="298"/>
      <c r="G2" s="298"/>
      <c r="H2" s="298"/>
      <c r="I2" s="298"/>
    </row>
    <row r="3" spans="1:9" ht="18.75" customHeight="1" x14ac:dyDescent="0.25">
      <c r="A3" s="298"/>
      <c r="B3" s="298"/>
      <c r="C3" s="298"/>
      <c r="D3" s="298"/>
      <c r="E3" s="298"/>
      <c r="F3" s="298"/>
      <c r="G3" s="298"/>
      <c r="H3" s="298"/>
      <c r="I3" s="298"/>
    </row>
    <row r="4" spans="1:9" ht="18.75" customHeight="1" x14ac:dyDescent="0.25">
      <c r="A4" s="298"/>
      <c r="B4" s="298"/>
      <c r="C4" s="298"/>
      <c r="D4" s="298"/>
      <c r="E4" s="298"/>
      <c r="F4" s="298"/>
      <c r="G4" s="298"/>
      <c r="H4" s="298"/>
      <c r="I4" s="298"/>
    </row>
    <row r="5" spans="1:9" ht="18.75" customHeight="1" x14ac:dyDescent="0.25">
      <c r="A5" s="298"/>
      <c r="B5" s="298"/>
      <c r="C5" s="298"/>
      <c r="D5" s="298"/>
      <c r="E5" s="298"/>
      <c r="F5" s="298"/>
      <c r="G5" s="298"/>
      <c r="H5" s="298"/>
      <c r="I5" s="298"/>
    </row>
    <row r="6" spans="1:9" ht="18.75" customHeight="1" x14ac:dyDescent="0.25">
      <c r="A6" s="298"/>
      <c r="B6" s="298"/>
      <c r="C6" s="298"/>
      <c r="D6" s="298"/>
      <c r="E6" s="298"/>
      <c r="F6" s="298"/>
      <c r="G6" s="298"/>
      <c r="H6" s="298"/>
      <c r="I6" s="298"/>
    </row>
    <row r="7" spans="1:9" ht="18.75" customHeight="1" x14ac:dyDescent="0.25">
      <c r="A7" s="298"/>
      <c r="B7" s="298"/>
      <c r="C7" s="298"/>
      <c r="D7" s="298"/>
      <c r="E7" s="298"/>
      <c r="F7" s="298"/>
      <c r="G7" s="298"/>
      <c r="H7" s="298"/>
      <c r="I7" s="298"/>
    </row>
    <row r="8" spans="1:9" x14ac:dyDescent="0.25">
      <c r="A8" s="299" t="s">
        <v>46</v>
      </c>
      <c r="B8" s="299"/>
      <c r="C8" s="299"/>
      <c r="D8" s="299"/>
      <c r="E8" s="299"/>
      <c r="F8" s="299"/>
      <c r="G8" s="299"/>
      <c r="H8" s="299"/>
      <c r="I8" s="299"/>
    </row>
    <row r="9" spans="1:9" x14ac:dyDescent="0.25">
      <c r="A9" s="299"/>
      <c r="B9" s="299"/>
      <c r="C9" s="299"/>
      <c r="D9" s="299"/>
      <c r="E9" s="299"/>
      <c r="F9" s="299"/>
      <c r="G9" s="299"/>
      <c r="H9" s="299"/>
      <c r="I9" s="299"/>
    </row>
    <row r="10" spans="1:9" x14ac:dyDescent="0.25">
      <c r="A10" s="299"/>
      <c r="B10" s="299"/>
      <c r="C10" s="299"/>
      <c r="D10" s="299"/>
      <c r="E10" s="299"/>
      <c r="F10" s="299"/>
      <c r="G10" s="299"/>
      <c r="H10" s="299"/>
      <c r="I10" s="299"/>
    </row>
    <row r="11" spans="1:9" x14ac:dyDescent="0.25">
      <c r="A11" s="299"/>
      <c r="B11" s="299"/>
      <c r="C11" s="299"/>
      <c r="D11" s="299"/>
      <c r="E11" s="299"/>
      <c r="F11" s="299"/>
      <c r="G11" s="299"/>
      <c r="H11" s="299"/>
      <c r="I11" s="299"/>
    </row>
    <row r="12" spans="1:9" x14ac:dyDescent="0.25">
      <c r="A12" s="299"/>
      <c r="B12" s="299"/>
      <c r="C12" s="299"/>
      <c r="D12" s="299"/>
      <c r="E12" s="299"/>
      <c r="F12" s="299"/>
      <c r="G12" s="299"/>
      <c r="H12" s="299"/>
      <c r="I12" s="299"/>
    </row>
    <row r="13" spans="1:9" x14ac:dyDescent="0.25">
      <c r="A13" s="299"/>
      <c r="B13" s="299"/>
      <c r="C13" s="299"/>
      <c r="D13" s="299"/>
      <c r="E13" s="299"/>
      <c r="F13" s="299"/>
      <c r="G13" s="299"/>
      <c r="H13" s="299"/>
      <c r="I13" s="299"/>
    </row>
    <row r="14" spans="1:9" x14ac:dyDescent="0.25">
      <c r="A14" s="299"/>
      <c r="B14" s="299"/>
      <c r="C14" s="299"/>
      <c r="D14" s="299"/>
      <c r="E14" s="299"/>
      <c r="F14" s="299"/>
      <c r="G14" s="299"/>
      <c r="H14" s="299"/>
      <c r="I14" s="299"/>
    </row>
    <row r="15" spans="1:9" ht="19.5" customHeight="1" x14ac:dyDescent="0.3">
      <c r="A15" s="99"/>
    </row>
    <row r="16" spans="1:9" ht="19.5" customHeight="1" x14ac:dyDescent="0.3">
      <c r="A16" s="331" t="s">
        <v>31</v>
      </c>
      <c r="B16" s="332"/>
      <c r="C16" s="332"/>
      <c r="D16" s="332"/>
      <c r="E16" s="332"/>
      <c r="F16" s="332"/>
      <c r="G16" s="332"/>
      <c r="H16" s="333"/>
    </row>
    <row r="17" spans="1:14" ht="20.25" customHeight="1" x14ac:dyDescent="0.25">
      <c r="A17" s="334" t="s">
        <v>47</v>
      </c>
      <c r="B17" s="334"/>
      <c r="C17" s="334"/>
      <c r="D17" s="334"/>
      <c r="E17" s="334"/>
      <c r="F17" s="334"/>
      <c r="G17" s="334"/>
      <c r="H17" s="334"/>
    </row>
    <row r="18" spans="1:14" ht="26.25" customHeight="1" x14ac:dyDescent="0.4">
      <c r="A18" s="101" t="s">
        <v>33</v>
      </c>
      <c r="B18" s="335" t="s">
        <v>5</v>
      </c>
      <c r="C18" s="335"/>
      <c r="D18" s="244"/>
      <c r="E18" s="102"/>
      <c r="F18" s="103"/>
      <c r="G18" s="103"/>
      <c r="H18" s="103"/>
    </row>
    <row r="19" spans="1:14" ht="26.25" customHeight="1" x14ac:dyDescent="0.4">
      <c r="A19" s="101" t="s">
        <v>34</v>
      </c>
      <c r="B19" s="280" t="s">
        <v>7</v>
      </c>
      <c r="C19" s="253">
        <v>1</v>
      </c>
      <c r="D19" s="103"/>
      <c r="E19" s="103"/>
      <c r="F19" s="103"/>
      <c r="G19" s="103"/>
      <c r="H19" s="103"/>
    </row>
    <row r="20" spans="1:14" ht="26.25" customHeight="1" x14ac:dyDescent="0.4">
      <c r="A20" s="101" t="s">
        <v>35</v>
      </c>
      <c r="B20" s="336" t="s">
        <v>9</v>
      </c>
      <c r="C20" s="336"/>
      <c r="D20" s="103"/>
      <c r="E20" s="103"/>
      <c r="F20" s="103"/>
      <c r="G20" s="103"/>
      <c r="H20" s="103"/>
    </row>
    <row r="21" spans="1:14" ht="26.25" customHeight="1" x14ac:dyDescent="0.4">
      <c r="A21" s="101" t="s">
        <v>36</v>
      </c>
      <c r="B21" s="337" t="s">
        <v>11</v>
      </c>
      <c r="C21" s="337"/>
      <c r="D21" s="337"/>
      <c r="E21" s="337"/>
      <c r="F21" s="337"/>
      <c r="G21" s="337"/>
      <c r="H21" s="337"/>
      <c r="I21" s="104"/>
    </row>
    <row r="22" spans="1:14" ht="26.25" customHeight="1" x14ac:dyDescent="0.4">
      <c r="A22" s="101" t="s">
        <v>37</v>
      </c>
      <c r="B22" s="98" t="s">
        <v>133</v>
      </c>
      <c r="C22" s="103"/>
      <c r="D22" s="103"/>
      <c r="E22" s="103"/>
      <c r="F22" s="103"/>
      <c r="G22" s="103"/>
      <c r="H22" s="103"/>
    </row>
    <row r="23" spans="1:14" ht="26.25" customHeight="1" x14ac:dyDescent="0.4">
      <c r="A23" s="101" t="s">
        <v>38</v>
      </c>
      <c r="B23" s="98" t="s">
        <v>134</v>
      </c>
      <c r="C23" s="103"/>
      <c r="D23" s="103"/>
      <c r="E23" s="103"/>
      <c r="F23" s="103"/>
      <c r="G23" s="103"/>
      <c r="H23" s="103"/>
    </row>
    <row r="24" spans="1:14" ht="18.75" x14ac:dyDescent="0.3">
      <c r="A24" s="101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30" t="s">
        <v>131</v>
      </c>
      <c r="C26" s="330"/>
    </row>
    <row r="27" spans="1:14" ht="26.25" customHeight="1" x14ac:dyDescent="0.4">
      <c r="A27" s="108" t="s">
        <v>48</v>
      </c>
      <c r="B27" s="336" t="s">
        <v>132</v>
      </c>
      <c r="C27" s="336"/>
    </row>
    <row r="28" spans="1:14" ht="27" customHeight="1" x14ac:dyDescent="0.4">
      <c r="A28" s="108" t="s">
        <v>6</v>
      </c>
      <c r="B28" s="109">
        <v>99.54</v>
      </c>
    </row>
    <row r="29" spans="1:14" s="14" customFormat="1" ht="27" customHeight="1" x14ac:dyDescent="0.4">
      <c r="A29" s="108" t="s">
        <v>49</v>
      </c>
      <c r="B29" s="110">
        <v>0</v>
      </c>
      <c r="C29" s="306" t="s">
        <v>89</v>
      </c>
      <c r="D29" s="307"/>
      <c r="E29" s="307"/>
      <c r="F29" s="307"/>
      <c r="G29" s="308"/>
      <c r="I29" s="111"/>
      <c r="J29" s="111"/>
      <c r="K29" s="111"/>
      <c r="L29" s="111"/>
    </row>
    <row r="30" spans="1:14" s="14" customFormat="1" ht="19.5" customHeight="1" x14ac:dyDescent="0.3">
      <c r="A30" s="108" t="s">
        <v>50</v>
      </c>
      <c r="B30" s="112">
        <f>B28-B29</f>
        <v>99.54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51</v>
      </c>
      <c r="B31" s="115">
        <v>1</v>
      </c>
      <c r="C31" s="309" t="s">
        <v>52</v>
      </c>
      <c r="D31" s="310"/>
      <c r="E31" s="310"/>
      <c r="F31" s="310"/>
      <c r="G31" s="310"/>
      <c r="H31" s="311"/>
      <c r="I31" s="111"/>
      <c r="J31" s="111"/>
      <c r="K31" s="111"/>
      <c r="L31" s="111"/>
    </row>
    <row r="32" spans="1:14" s="14" customFormat="1" ht="27" customHeight="1" x14ac:dyDescent="0.4">
      <c r="A32" s="108" t="s">
        <v>53</v>
      </c>
      <c r="B32" s="115">
        <v>1</v>
      </c>
      <c r="C32" s="309" t="s">
        <v>54</v>
      </c>
      <c r="D32" s="310"/>
      <c r="E32" s="310"/>
      <c r="F32" s="310"/>
      <c r="G32" s="310"/>
      <c r="H32" s="31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55</v>
      </c>
      <c r="B34" s="120">
        <f>B31/B32</f>
        <v>1</v>
      </c>
      <c r="C34" s="100" t="s">
        <v>56</v>
      </c>
      <c r="D34" s="100"/>
      <c r="E34" s="100"/>
      <c r="F34" s="100"/>
      <c r="G34" s="100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100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104</v>
      </c>
      <c r="B36" s="122">
        <v>50</v>
      </c>
      <c r="C36" s="100"/>
      <c r="D36" s="312" t="s">
        <v>57</v>
      </c>
      <c r="E36" s="338"/>
      <c r="F36" s="312" t="s">
        <v>58</v>
      </c>
      <c r="G36" s="31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59</v>
      </c>
      <c r="B37" s="124">
        <v>5</v>
      </c>
      <c r="C37" s="125" t="s">
        <v>60</v>
      </c>
      <c r="D37" s="126" t="s">
        <v>61</v>
      </c>
      <c r="E37" s="127" t="s">
        <v>62</v>
      </c>
      <c r="F37" s="126" t="s">
        <v>61</v>
      </c>
      <c r="G37" s="128" t="s">
        <v>62</v>
      </c>
      <c r="I37" s="129" t="s">
        <v>105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63</v>
      </c>
      <c r="B38" s="124">
        <v>100</v>
      </c>
      <c r="C38" s="130">
        <v>1</v>
      </c>
      <c r="D38" s="131">
        <v>0.56200000000000006</v>
      </c>
      <c r="E38" s="132">
        <f>IF(ISBLANK(D38),"-",$D$48/$D$45*D38)</f>
        <v>0.60063526263364675</v>
      </c>
      <c r="F38" s="285">
        <v>0.62</v>
      </c>
      <c r="G38" s="133">
        <f>IF(ISBLANK(F38),"-",$D$48/$F$45*F38)</f>
        <v>0.60331768677567332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64</v>
      </c>
      <c r="B39" s="124">
        <v>1</v>
      </c>
      <c r="C39" s="135">
        <v>2</v>
      </c>
      <c r="D39" s="136">
        <v>0.56399999999999995</v>
      </c>
      <c r="E39" s="137">
        <f>IF(ISBLANK(D39),"-",$D$48/$D$45*D39)</f>
        <v>0.60277275467148883</v>
      </c>
      <c r="F39" s="286">
        <v>0.62</v>
      </c>
      <c r="G39" s="138">
        <f>IF(ISBLANK(F39),"-",$D$48/$F$45*F39)</f>
        <v>0.60331768677567332</v>
      </c>
      <c r="I39" s="314">
        <f>ABS((F43/D43*D42)-F42)/D42</f>
        <v>2.2343571096039606E-3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65</v>
      </c>
      <c r="B40" s="124">
        <v>1</v>
      </c>
      <c r="C40" s="135">
        <v>3</v>
      </c>
      <c r="D40" s="136">
        <v>0.56499999999999995</v>
      </c>
      <c r="E40" s="137">
        <f>IF(ISBLANK(D40),"-",$D$48/$D$45*D40)</f>
        <v>0.60384150069040987</v>
      </c>
      <c r="F40" s="286">
        <v>0.621</v>
      </c>
      <c r="G40" s="138">
        <f>IF(ISBLANK(F40),"-",$D$48/$F$45*F40)</f>
        <v>0.60429077981885992</v>
      </c>
      <c r="I40" s="314"/>
      <c r="L40" s="116"/>
      <c r="M40" s="116"/>
      <c r="N40" s="139"/>
    </row>
    <row r="41" spans="1:14" ht="27" customHeight="1" x14ac:dyDescent="0.4">
      <c r="A41" s="123" t="s">
        <v>66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67</v>
      </c>
      <c r="B42" s="124">
        <v>1</v>
      </c>
      <c r="C42" s="145" t="s">
        <v>68</v>
      </c>
      <c r="D42" s="146">
        <f>AVERAGE(D38:D41)</f>
        <v>0.56366666666666665</v>
      </c>
      <c r="E42" s="147">
        <f>AVERAGE(E38:E41)</f>
        <v>0.60241650599851515</v>
      </c>
      <c r="F42" s="146">
        <f>AVERAGE(F38:F41)</f>
        <v>0.62033333333333329</v>
      </c>
      <c r="G42" s="148">
        <f>AVERAGE(G38:G41)</f>
        <v>0.60364205112340219</v>
      </c>
      <c r="H42" s="149"/>
    </row>
    <row r="43" spans="1:14" ht="26.25" customHeight="1" x14ac:dyDescent="0.4">
      <c r="A43" s="123" t="s">
        <v>69</v>
      </c>
      <c r="B43" s="124">
        <v>1</v>
      </c>
      <c r="C43" s="150" t="s">
        <v>106</v>
      </c>
      <c r="D43" s="151">
        <v>23.5</v>
      </c>
      <c r="E43" s="139"/>
      <c r="F43" s="151">
        <v>25.81</v>
      </c>
      <c r="H43" s="149"/>
    </row>
    <row r="44" spans="1:14" ht="26.25" customHeight="1" x14ac:dyDescent="0.4">
      <c r="A44" s="123" t="s">
        <v>71</v>
      </c>
      <c r="B44" s="124">
        <v>1</v>
      </c>
      <c r="C44" s="152" t="s">
        <v>107</v>
      </c>
      <c r="D44" s="153">
        <f>D43*$B$34</f>
        <v>23.5</v>
      </c>
      <c r="E44" s="154"/>
      <c r="F44" s="153">
        <f>F43*$B$34</f>
        <v>25.81</v>
      </c>
      <c r="H44" s="149"/>
    </row>
    <row r="45" spans="1:14" ht="19.5" customHeight="1" x14ac:dyDescent="0.3">
      <c r="A45" s="123" t="s">
        <v>73</v>
      </c>
      <c r="B45" s="155">
        <f>(B44/B43)*(B42/B41)*(B40/B39)*(B38/B37)*B36</f>
        <v>1000</v>
      </c>
      <c r="C45" s="152" t="s">
        <v>74</v>
      </c>
      <c r="D45" s="156">
        <f>D44*$B$30/100</f>
        <v>23.3919</v>
      </c>
      <c r="E45" s="157"/>
      <c r="F45" s="156">
        <f>F44*$B$30/100</f>
        <v>25.691274</v>
      </c>
      <c r="H45" s="149"/>
    </row>
    <row r="46" spans="1:14" ht="19.5" customHeight="1" x14ac:dyDescent="0.3">
      <c r="A46" s="300" t="s">
        <v>75</v>
      </c>
      <c r="B46" s="301"/>
      <c r="C46" s="152" t="s">
        <v>76</v>
      </c>
      <c r="D46" s="158">
        <f>D45/$B$45</f>
        <v>2.33919E-2</v>
      </c>
      <c r="E46" s="159"/>
      <c r="F46" s="160">
        <f>F45/$B$45</f>
        <v>2.5691274E-2</v>
      </c>
      <c r="H46" s="149"/>
    </row>
    <row r="47" spans="1:14" ht="27" customHeight="1" x14ac:dyDescent="0.4">
      <c r="A47" s="302"/>
      <c r="B47" s="303"/>
      <c r="C47" s="161" t="s">
        <v>108</v>
      </c>
      <c r="D47" s="162">
        <v>2.5000000000000001E-2</v>
      </c>
      <c r="E47" s="163"/>
      <c r="F47" s="159"/>
      <c r="H47" s="149"/>
    </row>
    <row r="48" spans="1:14" ht="18.75" x14ac:dyDescent="0.3">
      <c r="C48" s="164" t="s">
        <v>77</v>
      </c>
      <c r="D48" s="156">
        <f>D47*$B$45</f>
        <v>25</v>
      </c>
      <c r="F48" s="165"/>
      <c r="H48" s="149"/>
    </row>
    <row r="49" spans="1:12" ht="19.5" customHeight="1" x14ac:dyDescent="0.3">
      <c r="C49" s="166" t="s">
        <v>78</v>
      </c>
      <c r="D49" s="167">
        <f>D48/B34</f>
        <v>25</v>
      </c>
      <c r="F49" s="165"/>
      <c r="H49" s="149"/>
    </row>
    <row r="50" spans="1:12" ht="18.75" x14ac:dyDescent="0.3">
      <c r="C50" s="121" t="s">
        <v>79</v>
      </c>
      <c r="D50" s="168">
        <f>AVERAGE(E38:E41,G38:G41)</f>
        <v>0.60302927856095867</v>
      </c>
      <c r="F50" s="169"/>
      <c r="H50" s="149"/>
    </row>
    <row r="51" spans="1:12" ht="18.75" x14ac:dyDescent="0.3">
      <c r="C51" s="123" t="s">
        <v>80</v>
      </c>
      <c r="D51" s="170">
        <f>STDEV(E38:E41,G38:G41)/D50</f>
        <v>2.1255381266982254E-3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81</v>
      </c>
    </row>
    <row r="55" spans="1:12" ht="18.75" x14ac:dyDescent="0.3">
      <c r="A55" s="100" t="s">
        <v>82</v>
      </c>
      <c r="B55" s="175" t="str">
        <f>B21</f>
        <v>Each tablet contains 300 mg of Tenofovir Disoproxil Fumarate, which is equivalent to 245 mg of Tenofovir Disoproxil.</v>
      </c>
    </row>
    <row r="56" spans="1:12" ht="26.25" customHeight="1" x14ac:dyDescent="0.4">
      <c r="A56" s="176" t="s">
        <v>83</v>
      </c>
      <c r="B56" s="177">
        <v>300</v>
      </c>
      <c r="C56" s="100" t="str">
        <f>B20</f>
        <v xml:space="preserve">Tenofovir Disoproxil Fumarate 300 mg </v>
      </c>
      <c r="H56" s="178"/>
    </row>
    <row r="57" spans="1:12" ht="18.75" x14ac:dyDescent="0.3">
      <c r="A57" s="175" t="s">
        <v>84</v>
      </c>
      <c r="B57" s="245">
        <f>Uniformity!C46</f>
        <v>692.67549999999983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109</v>
      </c>
      <c r="B59" s="122">
        <v>200</v>
      </c>
      <c r="C59" s="100"/>
      <c r="D59" s="179" t="s">
        <v>110</v>
      </c>
      <c r="E59" s="180" t="s">
        <v>60</v>
      </c>
      <c r="F59" s="180" t="s">
        <v>61</v>
      </c>
      <c r="G59" s="180" t="s">
        <v>111</v>
      </c>
      <c r="H59" s="125" t="s">
        <v>112</v>
      </c>
      <c r="L59" s="111"/>
    </row>
    <row r="60" spans="1:12" s="14" customFormat="1" ht="26.25" customHeight="1" x14ac:dyDescent="0.4">
      <c r="A60" s="123" t="s">
        <v>113</v>
      </c>
      <c r="B60" s="124">
        <v>5</v>
      </c>
      <c r="C60" s="317" t="s">
        <v>114</v>
      </c>
      <c r="D60" s="320">
        <v>232.69</v>
      </c>
      <c r="E60" s="181">
        <v>1</v>
      </c>
      <c r="F60" s="182">
        <v>0.629</v>
      </c>
      <c r="G60" s="246">
        <f>IF(ISBLANK(F60),"-",(F60/$D$50*$D$47*$B$68)*($B$57/$D$60))</f>
        <v>310.50196574966907</v>
      </c>
      <c r="H60" s="264">
        <f t="shared" ref="H60:H71" si="0">IF(ISBLANK(F60),"-",(G60/$B$56)*100)</f>
        <v>103.50065524988969</v>
      </c>
      <c r="L60" s="111"/>
    </row>
    <row r="61" spans="1:12" s="14" customFormat="1" ht="26.25" customHeight="1" x14ac:dyDescent="0.4">
      <c r="A61" s="123" t="s">
        <v>94</v>
      </c>
      <c r="B61" s="124">
        <v>100</v>
      </c>
      <c r="C61" s="318"/>
      <c r="D61" s="321"/>
      <c r="E61" s="183">
        <v>2</v>
      </c>
      <c r="F61" s="136">
        <v>0.629</v>
      </c>
      <c r="G61" s="247">
        <f>IF(ISBLANK(F61),"-",(F61/$D$50*$D$47*$B$68)*($B$57/$D$60))</f>
        <v>310.50196574966907</v>
      </c>
      <c r="H61" s="265">
        <f t="shared" si="0"/>
        <v>103.50065524988969</v>
      </c>
      <c r="L61" s="111"/>
    </row>
    <row r="62" spans="1:12" s="14" customFormat="1" ht="26.25" customHeight="1" x14ac:dyDescent="0.4">
      <c r="A62" s="123" t="s">
        <v>95</v>
      </c>
      <c r="B62" s="124">
        <v>1</v>
      </c>
      <c r="C62" s="318"/>
      <c r="D62" s="321"/>
      <c r="E62" s="183">
        <v>3</v>
      </c>
      <c r="F62" s="286">
        <v>0.63200000000000001</v>
      </c>
      <c r="G62" s="247">
        <f>IF(ISBLANK(F62),"-",(F62/$D$50*$D$47*$B$68)*($B$57/$D$60))</f>
        <v>311.98289722383282</v>
      </c>
      <c r="H62" s="265">
        <f t="shared" si="0"/>
        <v>103.99429907461094</v>
      </c>
      <c r="L62" s="111"/>
    </row>
    <row r="63" spans="1:12" ht="27" customHeight="1" x14ac:dyDescent="0.4">
      <c r="A63" s="123" t="s">
        <v>96</v>
      </c>
      <c r="B63" s="124">
        <v>1</v>
      </c>
      <c r="C63" s="327"/>
      <c r="D63" s="322"/>
      <c r="E63" s="184">
        <v>4</v>
      </c>
      <c r="F63" s="185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3" t="s">
        <v>97</v>
      </c>
      <c r="B64" s="124">
        <v>1</v>
      </c>
      <c r="C64" s="317" t="s">
        <v>115</v>
      </c>
      <c r="D64" s="320">
        <v>242.63</v>
      </c>
      <c r="E64" s="181">
        <v>1</v>
      </c>
      <c r="F64" s="182">
        <v>0.65500000000000003</v>
      </c>
      <c r="G64" s="246">
        <f>IF(ISBLANK(F64),"-",(F64/$D$50*$D$47*$B$68)*($B$57/$D$64))</f>
        <v>310.0903347946446</v>
      </c>
      <c r="H64" s="264">
        <f t="shared" si="0"/>
        <v>103.36344493154822</v>
      </c>
    </row>
    <row r="65" spans="1:8" ht="26.25" customHeight="1" x14ac:dyDescent="0.4">
      <c r="A65" s="123" t="s">
        <v>98</v>
      </c>
      <c r="B65" s="124">
        <v>1</v>
      </c>
      <c r="C65" s="318"/>
      <c r="D65" s="321"/>
      <c r="E65" s="183">
        <v>2</v>
      </c>
      <c r="F65" s="136">
        <v>0.65700000000000003</v>
      </c>
      <c r="G65" s="247">
        <f>IF(ISBLANK(F65),"-",(F65/$D$50*$D$47*$B$68)*($B$57/$D$64))</f>
        <v>311.03717551157473</v>
      </c>
      <c r="H65" s="265">
        <f t="shared" si="0"/>
        <v>103.67905850385823</v>
      </c>
    </row>
    <row r="66" spans="1:8" ht="26.25" customHeight="1" x14ac:dyDescent="0.4">
      <c r="A66" s="123" t="s">
        <v>99</v>
      </c>
      <c r="B66" s="124">
        <v>1</v>
      </c>
      <c r="C66" s="318"/>
      <c r="D66" s="321"/>
      <c r="E66" s="183">
        <v>3</v>
      </c>
      <c r="F66" s="136">
        <v>0.65600000000000003</v>
      </c>
      <c r="G66" s="247">
        <f>IF(ISBLANK(F66),"-",(F66/$D$50*$D$47*$B$68)*($B$57/$D$64))</f>
        <v>310.56375515310964</v>
      </c>
      <c r="H66" s="265">
        <f t="shared" si="0"/>
        <v>103.52125171770321</v>
      </c>
    </row>
    <row r="67" spans="1:8" ht="27" customHeight="1" x14ac:dyDescent="0.4">
      <c r="A67" s="123" t="s">
        <v>100</v>
      </c>
      <c r="B67" s="124">
        <v>1</v>
      </c>
      <c r="C67" s="327"/>
      <c r="D67" s="322"/>
      <c r="E67" s="184">
        <v>4</v>
      </c>
      <c r="F67" s="185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3" t="s">
        <v>101</v>
      </c>
      <c r="B68" s="186">
        <f>(B67/B66)*(B65/B64)*(B63/B62)*(B61/B60)*B59</f>
        <v>4000</v>
      </c>
      <c r="C68" s="317" t="s">
        <v>116</v>
      </c>
      <c r="D68" s="320">
        <v>228.32</v>
      </c>
      <c r="E68" s="181">
        <v>1</v>
      </c>
      <c r="F68" s="287">
        <v>0.62</v>
      </c>
      <c r="G68" s="246">
        <f>IF(ISBLANK(F68),"-",(F68/$D$50*$D$47*$B$68)*($B$57/$D$68))</f>
        <v>311.91708381272332</v>
      </c>
      <c r="H68" s="265">
        <f t="shared" si="0"/>
        <v>103.97236127090777</v>
      </c>
    </row>
    <row r="69" spans="1:8" ht="27" customHeight="1" x14ac:dyDescent="0.4">
      <c r="A69" s="171" t="s">
        <v>117</v>
      </c>
      <c r="B69" s="187">
        <f>(D47*B68)/B56*B57</f>
        <v>230.89183333333327</v>
      </c>
      <c r="C69" s="318"/>
      <c r="D69" s="321"/>
      <c r="E69" s="183">
        <v>2</v>
      </c>
      <c r="F69" s="286">
        <v>0.62</v>
      </c>
      <c r="G69" s="247">
        <f>IF(ISBLANK(F69),"-",(F69/$D$50*$D$47*$B$68)*($B$57/$D$68))</f>
        <v>311.91708381272332</v>
      </c>
      <c r="H69" s="265">
        <f t="shared" si="0"/>
        <v>103.97236127090777</v>
      </c>
    </row>
    <row r="70" spans="1:8" ht="26.25" customHeight="1" x14ac:dyDescent="0.4">
      <c r="A70" s="323" t="s">
        <v>75</v>
      </c>
      <c r="B70" s="324"/>
      <c r="C70" s="318"/>
      <c r="D70" s="321"/>
      <c r="E70" s="183">
        <v>3</v>
      </c>
      <c r="F70" s="286">
        <v>0.62</v>
      </c>
      <c r="G70" s="247">
        <f>IF(ISBLANK(F70),"-",(F70/$D$50*$D$47*$B$68)*($B$57/$D$68))</f>
        <v>311.91708381272332</v>
      </c>
      <c r="H70" s="265">
        <f t="shared" si="0"/>
        <v>103.97236127090777</v>
      </c>
    </row>
    <row r="71" spans="1:8" ht="27" customHeight="1" x14ac:dyDescent="0.4">
      <c r="A71" s="325"/>
      <c r="B71" s="326"/>
      <c r="C71" s="319"/>
      <c r="D71" s="322"/>
      <c r="E71" s="184">
        <v>4</v>
      </c>
      <c r="F71" s="185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88"/>
      <c r="B72" s="188"/>
      <c r="C72" s="188"/>
      <c r="D72" s="188"/>
      <c r="E72" s="188"/>
      <c r="F72" s="190" t="s">
        <v>68</v>
      </c>
      <c r="G72" s="252">
        <f>AVERAGE(G60:G71)</f>
        <v>311.15881618007444</v>
      </c>
      <c r="H72" s="267">
        <f>AVERAGE(H60:H71)</f>
        <v>103.71960539335812</v>
      </c>
    </row>
    <row r="73" spans="1:8" ht="26.25" customHeight="1" x14ac:dyDescent="0.4">
      <c r="C73" s="188"/>
      <c r="D73" s="188"/>
      <c r="E73" s="188"/>
      <c r="F73" s="191" t="s">
        <v>80</v>
      </c>
      <c r="G73" s="251">
        <f>STDEV(G60:G71)/G72</f>
        <v>2.4835442536951737E-3</v>
      </c>
      <c r="H73" s="251">
        <f>STDEV(H60:H71)/H72</f>
        <v>2.4835442536951346E-3</v>
      </c>
    </row>
    <row r="74" spans="1:8" ht="27" customHeight="1" x14ac:dyDescent="0.4">
      <c r="A74" s="188"/>
      <c r="B74" s="188"/>
      <c r="C74" s="189"/>
      <c r="D74" s="189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107" t="s">
        <v>118</v>
      </c>
      <c r="B76" s="195" t="s">
        <v>85</v>
      </c>
      <c r="C76" s="304" t="str">
        <f>B26</f>
        <v>tenofovir disoproxil fumarate</v>
      </c>
      <c r="D76" s="304"/>
      <c r="E76" s="196" t="s">
        <v>86</v>
      </c>
      <c r="F76" s="196"/>
      <c r="G76" s="281">
        <f>H72</f>
        <v>103.71960539335812</v>
      </c>
      <c r="H76" s="198"/>
    </row>
    <row r="77" spans="1:8" ht="18.75" x14ac:dyDescent="0.3">
      <c r="A77" s="106" t="s">
        <v>87</v>
      </c>
      <c r="B77" s="106" t="s">
        <v>88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5" t="str">
        <f>B26</f>
        <v>tenofovir disoproxil fumarate</v>
      </c>
      <c r="C79" s="335"/>
    </row>
    <row r="80" spans="1:8" ht="26.25" customHeight="1" x14ac:dyDescent="0.4">
      <c r="A80" s="108" t="s">
        <v>48</v>
      </c>
      <c r="B80" s="335" t="str">
        <f>B27</f>
        <v>T11-10</v>
      </c>
      <c r="C80" s="335"/>
    </row>
    <row r="81" spans="1:12" ht="27" customHeight="1" x14ac:dyDescent="0.4">
      <c r="A81" s="108" t="s">
        <v>6</v>
      </c>
      <c r="B81" s="199">
        <f>B28</f>
        <v>99.54</v>
      </c>
    </row>
    <row r="82" spans="1:12" s="14" customFormat="1" ht="27" customHeight="1" x14ac:dyDescent="0.4">
      <c r="A82" s="108" t="s">
        <v>49</v>
      </c>
      <c r="B82" s="110">
        <v>0</v>
      </c>
      <c r="C82" s="306" t="s">
        <v>89</v>
      </c>
      <c r="D82" s="307"/>
      <c r="E82" s="307"/>
      <c r="F82" s="307"/>
      <c r="G82" s="308"/>
      <c r="I82" s="111"/>
      <c r="J82" s="111"/>
      <c r="K82" s="111"/>
      <c r="L82" s="111"/>
    </row>
    <row r="83" spans="1:12" s="14" customFormat="1" ht="19.5" customHeight="1" x14ac:dyDescent="0.3">
      <c r="A83" s="108" t="s">
        <v>50</v>
      </c>
      <c r="B83" s="112">
        <f>B81-B82</f>
        <v>99.54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51</v>
      </c>
      <c r="B84" s="115">
        <v>1</v>
      </c>
      <c r="C84" s="309" t="s">
        <v>119</v>
      </c>
      <c r="D84" s="310"/>
      <c r="E84" s="310"/>
      <c r="F84" s="310"/>
      <c r="G84" s="310"/>
      <c r="H84" s="311"/>
      <c r="I84" s="111"/>
      <c r="J84" s="111"/>
      <c r="K84" s="111"/>
      <c r="L84" s="111"/>
    </row>
    <row r="85" spans="1:12" s="14" customFormat="1" ht="27" customHeight="1" x14ac:dyDescent="0.4">
      <c r="A85" s="108" t="s">
        <v>53</v>
      </c>
      <c r="B85" s="115">
        <v>1</v>
      </c>
      <c r="C85" s="309" t="s">
        <v>120</v>
      </c>
      <c r="D85" s="310"/>
      <c r="E85" s="310"/>
      <c r="F85" s="310"/>
      <c r="G85" s="310"/>
      <c r="H85" s="31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55</v>
      </c>
      <c r="B87" s="120">
        <f>B84/B85</f>
        <v>1</v>
      </c>
      <c r="C87" s="100" t="s">
        <v>56</v>
      </c>
      <c r="D87" s="100"/>
      <c r="E87" s="100"/>
      <c r="F87" s="100"/>
      <c r="G87" s="100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104</v>
      </c>
      <c r="B89" s="122">
        <v>50</v>
      </c>
      <c r="D89" s="200" t="s">
        <v>57</v>
      </c>
      <c r="E89" s="201"/>
      <c r="F89" s="312" t="s">
        <v>58</v>
      </c>
      <c r="G89" s="313"/>
    </row>
    <row r="90" spans="1:12" ht="27" customHeight="1" x14ac:dyDescent="0.4">
      <c r="A90" s="123" t="s">
        <v>59</v>
      </c>
      <c r="B90" s="124">
        <v>5</v>
      </c>
      <c r="C90" s="202" t="s">
        <v>60</v>
      </c>
      <c r="D90" s="126" t="s">
        <v>61</v>
      </c>
      <c r="E90" s="127" t="s">
        <v>62</v>
      </c>
      <c r="F90" s="126" t="s">
        <v>61</v>
      </c>
      <c r="G90" s="203" t="s">
        <v>62</v>
      </c>
      <c r="I90" s="129" t="s">
        <v>105</v>
      </c>
    </row>
    <row r="91" spans="1:12" ht="26.25" customHeight="1" x14ac:dyDescent="0.4">
      <c r="A91" s="123" t="s">
        <v>63</v>
      </c>
      <c r="B91" s="124">
        <v>100</v>
      </c>
      <c r="C91" s="204">
        <v>1</v>
      </c>
      <c r="D91" s="131">
        <v>0.56200000000000006</v>
      </c>
      <c r="E91" s="132">
        <f>IF(ISBLANK(D91),"-",$D$101/$D$98*D91)</f>
        <v>0.64067761347588992</v>
      </c>
      <c r="F91" s="285">
        <v>0.62</v>
      </c>
      <c r="G91" s="133">
        <f>IF(ISBLANK(F91),"-",$D$101/$F$98*F91)</f>
        <v>0.64353886589405163</v>
      </c>
      <c r="I91" s="134"/>
    </row>
    <row r="92" spans="1:12" ht="26.25" customHeight="1" x14ac:dyDescent="0.4">
      <c r="A92" s="123" t="s">
        <v>64</v>
      </c>
      <c r="B92" s="124">
        <v>1</v>
      </c>
      <c r="C92" s="189">
        <v>2</v>
      </c>
      <c r="D92" s="136">
        <v>0.56399999999999995</v>
      </c>
      <c r="E92" s="137">
        <f>IF(ISBLANK(D92),"-",$D$101/$D$98*D92)</f>
        <v>0.64295760498292143</v>
      </c>
      <c r="F92" s="286">
        <v>0.62</v>
      </c>
      <c r="G92" s="138">
        <f>IF(ISBLANK(F92),"-",$D$101/$F$98*F92)</f>
        <v>0.64353886589405163</v>
      </c>
      <c r="I92" s="314">
        <f>ABS((F96/D96*D95)-F95)/D95</f>
        <v>2.2343571096039606E-3</v>
      </c>
    </row>
    <row r="93" spans="1:12" ht="26.25" customHeight="1" x14ac:dyDescent="0.4">
      <c r="A93" s="123" t="s">
        <v>65</v>
      </c>
      <c r="B93" s="124">
        <v>1</v>
      </c>
      <c r="C93" s="189">
        <v>3</v>
      </c>
      <c r="D93" s="136">
        <v>0.56499999999999995</v>
      </c>
      <c r="E93" s="137">
        <f>IF(ISBLANK(D93),"-",$D$101/$D$98*D93)</f>
        <v>0.64409760073643729</v>
      </c>
      <c r="F93" s="286">
        <v>0.621</v>
      </c>
      <c r="G93" s="138">
        <f>IF(ISBLANK(F93),"-",$D$101/$F$98*F93)</f>
        <v>0.64457683180678393</v>
      </c>
      <c r="I93" s="314"/>
    </row>
    <row r="94" spans="1:12" ht="27" customHeight="1" x14ac:dyDescent="0.4">
      <c r="A94" s="123" t="s">
        <v>66</v>
      </c>
      <c r="B94" s="124">
        <v>1</v>
      </c>
      <c r="C94" s="205">
        <v>4</v>
      </c>
      <c r="D94" s="141"/>
      <c r="E94" s="142" t="str">
        <f>IF(ISBLANK(D94),"-",$D$101/$D$98*D94)</f>
        <v>-</v>
      </c>
      <c r="F94" s="206"/>
      <c r="G94" s="143" t="str">
        <f>IF(ISBLANK(F94),"-",$D$101/$F$98*F94)</f>
        <v>-</v>
      </c>
      <c r="I94" s="144"/>
    </row>
    <row r="95" spans="1:12" ht="27" customHeight="1" x14ac:dyDescent="0.4">
      <c r="A95" s="123" t="s">
        <v>67</v>
      </c>
      <c r="B95" s="124">
        <v>1</v>
      </c>
      <c r="C95" s="207" t="s">
        <v>68</v>
      </c>
      <c r="D95" s="208">
        <f>AVERAGE(D91:D94)</f>
        <v>0.56366666666666665</v>
      </c>
      <c r="E95" s="147">
        <f>AVERAGE(E91:E94)</f>
        <v>0.64257760639841621</v>
      </c>
      <c r="F95" s="209">
        <f>AVERAGE(F91:F94)</f>
        <v>0.62033333333333329</v>
      </c>
      <c r="G95" s="210">
        <f>AVERAGE(G91:G94)</f>
        <v>0.64388485453162903</v>
      </c>
    </row>
    <row r="96" spans="1:12" ht="26.25" customHeight="1" x14ac:dyDescent="0.4">
      <c r="A96" s="123" t="s">
        <v>69</v>
      </c>
      <c r="B96" s="109">
        <v>1</v>
      </c>
      <c r="C96" s="211" t="s">
        <v>70</v>
      </c>
      <c r="D96" s="212">
        <v>23.5</v>
      </c>
      <c r="E96" s="139"/>
      <c r="F96" s="151">
        <v>25.81</v>
      </c>
    </row>
    <row r="97" spans="1:10" ht="26.25" customHeight="1" x14ac:dyDescent="0.4">
      <c r="A97" s="123" t="s">
        <v>71</v>
      </c>
      <c r="B97" s="109">
        <v>1</v>
      </c>
      <c r="C97" s="213" t="s">
        <v>72</v>
      </c>
      <c r="D97" s="214">
        <f>D96*$B$87</f>
        <v>23.5</v>
      </c>
      <c r="E97" s="154"/>
      <c r="F97" s="153">
        <f>F96*$B$87</f>
        <v>25.81</v>
      </c>
    </row>
    <row r="98" spans="1:10" ht="19.5" customHeight="1" x14ac:dyDescent="0.3">
      <c r="A98" s="123" t="s">
        <v>73</v>
      </c>
      <c r="B98" s="215">
        <f>(B97/B96)*(B95/B94)*(B93/B92)*(B91/B90)*B89</f>
        <v>1000</v>
      </c>
      <c r="C98" s="213" t="s">
        <v>121</v>
      </c>
      <c r="D98" s="216">
        <f>D97*$B$83/100</f>
        <v>23.3919</v>
      </c>
      <c r="E98" s="157"/>
      <c r="F98" s="156">
        <f>F97*$B$83/100</f>
        <v>25.691274</v>
      </c>
    </row>
    <row r="99" spans="1:10" ht="19.5" customHeight="1" x14ac:dyDescent="0.3">
      <c r="A99" s="300" t="s">
        <v>75</v>
      </c>
      <c r="B99" s="315"/>
      <c r="C99" s="213" t="s">
        <v>122</v>
      </c>
      <c r="D99" s="217">
        <f>D98/$B$98</f>
        <v>2.33919E-2</v>
      </c>
      <c r="E99" s="157"/>
      <c r="F99" s="160">
        <f>F98/$B$98</f>
        <v>2.5691274E-2</v>
      </c>
      <c r="G99" s="218"/>
      <c r="H99" s="149"/>
    </row>
    <row r="100" spans="1:10" ht="19.5" customHeight="1" x14ac:dyDescent="0.3">
      <c r="A100" s="302"/>
      <c r="B100" s="316"/>
      <c r="C100" s="213" t="s">
        <v>108</v>
      </c>
      <c r="D100" s="219">
        <f>$B$56/$B$116</f>
        <v>2.6666666666666668E-2</v>
      </c>
      <c r="F100" s="165"/>
      <c r="G100" s="220"/>
      <c r="H100" s="149"/>
    </row>
    <row r="101" spans="1:10" ht="18.75" x14ac:dyDescent="0.3">
      <c r="C101" s="213" t="s">
        <v>77</v>
      </c>
      <c r="D101" s="214">
        <f>D100*$B$98</f>
        <v>26.666666666666668</v>
      </c>
      <c r="F101" s="165"/>
      <c r="G101" s="218"/>
      <c r="H101" s="149"/>
    </row>
    <row r="102" spans="1:10" ht="19.5" customHeight="1" x14ac:dyDescent="0.3">
      <c r="C102" s="221" t="s">
        <v>78</v>
      </c>
      <c r="D102" s="222">
        <f>D101/B34</f>
        <v>26.666666666666668</v>
      </c>
      <c r="F102" s="169"/>
      <c r="G102" s="218"/>
      <c r="H102" s="149"/>
      <c r="J102" s="223"/>
    </row>
    <row r="103" spans="1:10" ht="18.75" x14ac:dyDescent="0.3">
      <c r="C103" s="224" t="s">
        <v>123</v>
      </c>
      <c r="D103" s="225">
        <f>AVERAGE(E91:E94,G91:G94)</f>
        <v>0.64323123046502262</v>
      </c>
      <c r="F103" s="169"/>
      <c r="G103" s="226"/>
      <c r="H103" s="149"/>
      <c r="J103" s="227"/>
    </row>
    <row r="104" spans="1:10" ht="18.75" x14ac:dyDescent="0.3">
      <c r="C104" s="191" t="s">
        <v>80</v>
      </c>
      <c r="D104" s="228">
        <f>STDEV(E91:E94,G91:G94)/D103</f>
        <v>2.1255381266982293E-3</v>
      </c>
      <c r="F104" s="169"/>
      <c r="G104" s="218"/>
      <c r="H104" s="149"/>
      <c r="J104" s="227"/>
    </row>
    <row r="105" spans="1:10" ht="19.5" customHeight="1" x14ac:dyDescent="0.3">
      <c r="C105" s="193" t="s">
        <v>20</v>
      </c>
      <c r="D105" s="229">
        <f>COUNT(E91:E94,G91:G94)</f>
        <v>6</v>
      </c>
      <c r="F105" s="169"/>
      <c r="G105" s="218"/>
      <c r="H105" s="149"/>
      <c r="J105" s="227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90</v>
      </c>
      <c r="B107" s="122">
        <v>900</v>
      </c>
      <c r="C107" s="268" t="s">
        <v>124</v>
      </c>
      <c r="D107" s="268" t="s">
        <v>61</v>
      </c>
      <c r="E107" s="268" t="s">
        <v>91</v>
      </c>
      <c r="F107" s="230" t="s">
        <v>92</v>
      </c>
    </row>
    <row r="108" spans="1:10" ht="26.25" customHeight="1" x14ac:dyDescent="0.4">
      <c r="A108" s="123" t="s">
        <v>93</v>
      </c>
      <c r="B108" s="124">
        <v>4</v>
      </c>
      <c r="C108" s="271">
        <v>1</v>
      </c>
      <c r="D108" s="282">
        <v>0.60099999999999998</v>
      </c>
      <c r="E108" s="248">
        <f t="shared" ref="E108:E113" si="1">IF(ISBLANK(D108),"-",D108/$D$103*$D$100*$B$116)</f>
        <v>280.30355408839915</v>
      </c>
      <c r="F108" s="272">
        <f t="shared" ref="F108:F113" si="2">IF(ISBLANK(D108), "-", (E108/$B$56)*100)</f>
        <v>93.434518029466389</v>
      </c>
    </row>
    <row r="109" spans="1:10" ht="26.25" customHeight="1" x14ac:dyDescent="0.4">
      <c r="A109" s="123" t="s">
        <v>94</v>
      </c>
      <c r="B109" s="124">
        <v>50</v>
      </c>
      <c r="C109" s="269">
        <v>2</v>
      </c>
      <c r="D109" s="283">
        <v>0.59099999999999997</v>
      </c>
      <c r="E109" s="249">
        <f t="shared" si="1"/>
        <v>275.63960144133762</v>
      </c>
      <c r="F109" s="273">
        <f t="shared" si="2"/>
        <v>91.879867147112535</v>
      </c>
    </row>
    <row r="110" spans="1:10" ht="26.25" customHeight="1" x14ac:dyDescent="0.4">
      <c r="A110" s="123" t="s">
        <v>95</v>
      </c>
      <c r="B110" s="124">
        <v>1</v>
      </c>
      <c r="C110" s="269">
        <v>3</v>
      </c>
      <c r="D110" s="283">
        <v>0.61</v>
      </c>
      <c r="E110" s="249">
        <f t="shared" si="1"/>
        <v>284.50111147075455</v>
      </c>
      <c r="F110" s="273">
        <f t="shared" si="2"/>
        <v>94.833703823584841</v>
      </c>
    </row>
    <row r="111" spans="1:10" ht="26.25" customHeight="1" x14ac:dyDescent="0.4">
      <c r="A111" s="123" t="s">
        <v>96</v>
      </c>
      <c r="B111" s="124">
        <v>1</v>
      </c>
      <c r="C111" s="269">
        <v>4</v>
      </c>
      <c r="D111" s="283">
        <v>0.59499999999999997</v>
      </c>
      <c r="E111" s="249">
        <f t="shared" si="1"/>
        <v>277.50518250016222</v>
      </c>
      <c r="F111" s="273">
        <f t="shared" si="2"/>
        <v>92.501727500054074</v>
      </c>
    </row>
    <row r="112" spans="1:10" ht="26.25" customHeight="1" x14ac:dyDescent="0.4">
      <c r="A112" s="123" t="s">
        <v>97</v>
      </c>
      <c r="B112" s="124">
        <v>1</v>
      </c>
      <c r="C112" s="269">
        <v>5</v>
      </c>
      <c r="D112" s="283">
        <v>0.59099999999999997</v>
      </c>
      <c r="E112" s="249">
        <f t="shared" si="1"/>
        <v>275.63960144133762</v>
      </c>
      <c r="F112" s="273">
        <f t="shared" si="2"/>
        <v>91.879867147112535</v>
      </c>
    </row>
    <row r="113" spans="1:10" ht="27" customHeight="1" x14ac:dyDescent="0.4">
      <c r="A113" s="123" t="s">
        <v>98</v>
      </c>
      <c r="B113" s="124">
        <v>1</v>
      </c>
      <c r="C113" s="270">
        <v>6</v>
      </c>
      <c r="D113" s="284">
        <v>0.58899999999999997</v>
      </c>
      <c r="E113" s="250">
        <f t="shared" si="1"/>
        <v>274.70681091192529</v>
      </c>
      <c r="F113" s="274">
        <f t="shared" si="2"/>
        <v>91.568936970641772</v>
      </c>
    </row>
    <row r="114" spans="1:10" ht="27" customHeight="1" x14ac:dyDescent="0.4">
      <c r="A114" s="123" t="s">
        <v>99</v>
      </c>
      <c r="B114" s="124">
        <v>1</v>
      </c>
      <c r="C114" s="231"/>
      <c r="D114" s="189"/>
      <c r="E114" s="99"/>
      <c r="F114" s="275"/>
    </row>
    <row r="115" spans="1:10" ht="26.25" customHeight="1" x14ac:dyDescent="0.4">
      <c r="A115" s="123" t="s">
        <v>100</v>
      </c>
      <c r="B115" s="124">
        <v>1</v>
      </c>
      <c r="C115" s="231"/>
      <c r="D115" s="255" t="s">
        <v>68</v>
      </c>
      <c r="E115" s="257">
        <f>AVERAGE(E108:E113)</f>
        <v>278.04931030898604</v>
      </c>
      <c r="F115" s="276">
        <f>AVERAGE(F108:F113)</f>
        <v>92.683103436328679</v>
      </c>
    </row>
    <row r="116" spans="1:10" ht="27" customHeight="1" x14ac:dyDescent="0.4">
      <c r="A116" s="123" t="s">
        <v>101</v>
      </c>
      <c r="B116" s="155">
        <f>(B115/B114)*(B113/B112)*(B111/B110)*(B109/B108)*B107</f>
        <v>11250</v>
      </c>
      <c r="C116" s="232"/>
      <c r="D116" s="256" t="s">
        <v>80</v>
      </c>
      <c r="E116" s="254">
        <f>STDEV(E108:E113)/E115</f>
        <v>1.3436527638465656E-2</v>
      </c>
      <c r="F116" s="233">
        <f>STDEV(F108:F113)/F115</f>
        <v>1.3436527638465621E-2</v>
      </c>
      <c r="I116" s="99"/>
    </row>
    <row r="117" spans="1:10" ht="27" customHeight="1" x14ac:dyDescent="0.4">
      <c r="A117" s="300" t="s">
        <v>75</v>
      </c>
      <c r="B117" s="301"/>
      <c r="C117" s="234"/>
      <c r="D117" s="193" t="s">
        <v>20</v>
      </c>
      <c r="E117" s="259">
        <f>COUNT(E108:E113)</f>
        <v>6</v>
      </c>
      <c r="F117" s="260">
        <f>COUNT(F108:F113)</f>
        <v>6</v>
      </c>
      <c r="I117" s="99"/>
      <c r="J117" s="227"/>
    </row>
    <row r="118" spans="1:10" ht="26.25" customHeight="1" x14ac:dyDescent="0.3">
      <c r="A118" s="302"/>
      <c r="B118" s="303"/>
      <c r="C118" s="99"/>
      <c r="D118" s="258"/>
      <c r="E118" s="328" t="s">
        <v>125</v>
      </c>
      <c r="F118" s="329"/>
      <c r="G118" s="99"/>
      <c r="H118" s="99"/>
      <c r="I118" s="99"/>
    </row>
    <row r="119" spans="1:10" ht="25.5" customHeight="1" x14ac:dyDescent="0.4">
      <c r="A119" s="243"/>
      <c r="B119" s="119"/>
      <c r="C119" s="99"/>
      <c r="D119" s="256" t="s">
        <v>126</v>
      </c>
      <c r="E119" s="261">
        <f>MIN(E108:E113)</f>
        <v>274.70681091192529</v>
      </c>
      <c r="F119" s="277">
        <f>MIN(F108:F113)</f>
        <v>91.568936970641772</v>
      </c>
      <c r="G119" s="99"/>
      <c r="H119" s="99"/>
      <c r="I119" s="99"/>
    </row>
    <row r="120" spans="1:10" ht="24" customHeight="1" x14ac:dyDescent="0.4">
      <c r="A120" s="243"/>
      <c r="B120" s="119"/>
      <c r="C120" s="99"/>
      <c r="D120" s="166" t="s">
        <v>127</v>
      </c>
      <c r="E120" s="262">
        <f>MAX(E108:E113)</f>
        <v>284.50111147075455</v>
      </c>
      <c r="F120" s="278">
        <f>MAX(F108:F113)</f>
        <v>94.833703823584841</v>
      </c>
      <c r="G120" s="99"/>
      <c r="H120" s="99"/>
      <c r="I120" s="99"/>
    </row>
    <row r="121" spans="1:10" ht="27" customHeight="1" x14ac:dyDescent="0.3">
      <c r="A121" s="243"/>
      <c r="B121" s="119"/>
      <c r="C121" s="99"/>
      <c r="D121" s="99"/>
      <c r="E121" s="99"/>
      <c r="F121" s="189"/>
      <c r="G121" s="99"/>
      <c r="H121" s="99"/>
      <c r="I121" s="99"/>
    </row>
    <row r="122" spans="1:10" ht="25.5" customHeight="1" x14ac:dyDescent="0.3">
      <c r="A122" s="243"/>
      <c r="B122" s="119"/>
      <c r="C122" s="99"/>
      <c r="D122" s="99"/>
      <c r="E122" s="99"/>
      <c r="F122" s="189"/>
      <c r="G122" s="99"/>
      <c r="H122" s="99"/>
      <c r="I122" s="99"/>
    </row>
    <row r="123" spans="1:10" ht="18.75" x14ac:dyDescent="0.3">
      <c r="A123" s="243"/>
      <c r="B123" s="119"/>
      <c r="C123" s="99"/>
      <c r="D123" s="99"/>
      <c r="E123" s="99"/>
      <c r="F123" s="189"/>
      <c r="G123" s="99"/>
      <c r="H123" s="99"/>
      <c r="I123" s="99"/>
    </row>
    <row r="124" spans="1:10" ht="45.75" customHeight="1" x14ac:dyDescent="0.65">
      <c r="A124" s="107" t="s">
        <v>118</v>
      </c>
      <c r="B124" s="195" t="s">
        <v>102</v>
      </c>
      <c r="C124" s="304" t="str">
        <f>B26</f>
        <v>tenofovir disoproxil fumarate</v>
      </c>
      <c r="D124" s="304"/>
      <c r="E124" s="196" t="s">
        <v>103</v>
      </c>
      <c r="F124" s="196"/>
      <c r="G124" s="279">
        <f>F115</f>
        <v>92.683103436328679</v>
      </c>
      <c r="H124" s="99"/>
      <c r="I124" s="99"/>
    </row>
    <row r="125" spans="1:10" ht="45.75" customHeight="1" x14ac:dyDescent="0.65">
      <c r="A125" s="107"/>
      <c r="B125" s="195" t="s">
        <v>128</v>
      </c>
      <c r="C125" s="108" t="s">
        <v>129</v>
      </c>
      <c r="D125" s="279">
        <f>MIN(F108:F113)</f>
        <v>91.568936970641772</v>
      </c>
      <c r="E125" s="207" t="s">
        <v>130</v>
      </c>
      <c r="F125" s="279">
        <f>MAX(F108:F113)</f>
        <v>94.833703823584841</v>
      </c>
      <c r="G125" s="197"/>
      <c r="H125" s="99"/>
      <c r="I125" s="99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305" t="s">
        <v>26</v>
      </c>
      <c r="C127" s="305"/>
      <c r="E127" s="202" t="s">
        <v>27</v>
      </c>
      <c r="F127" s="237"/>
      <c r="G127" s="305" t="s">
        <v>28</v>
      </c>
      <c r="H127" s="305"/>
    </row>
    <row r="128" spans="1:10" ht="69.95" customHeight="1" x14ac:dyDescent="0.3">
      <c r="A128" s="238" t="s">
        <v>29</v>
      </c>
      <c r="B128" s="239"/>
      <c r="C128" s="239"/>
      <c r="E128" s="239"/>
      <c r="F128" s="99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9"/>
      <c r="G129" s="242"/>
      <c r="H129" s="242"/>
    </row>
    <row r="130" spans="1:9" ht="18.75" x14ac:dyDescent="0.3">
      <c r="A130" s="188"/>
      <c r="B130" s="188"/>
      <c r="C130" s="189"/>
      <c r="D130" s="189"/>
      <c r="E130" s="189"/>
      <c r="F130" s="192"/>
      <c r="G130" s="189"/>
      <c r="H130" s="189"/>
      <c r="I130" s="99"/>
    </row>
    <row r="131" spans="1:9" ht="18.75" x14ac:dyDescent="0.3">
      <c r="A131" s="188"/>
      <c r="B131" s="188"/>
      <c r="C131" s="189"/>
      <c r="D131" s="189"/>
      <c r="E131" s="189"/>
      <c r="F131" s="192"/>
      <c r="G131" s="189"/>
      <c r="H131" s="189"/>
      <c r="I131" s="99"/>
    </row>
    <row r="132" spans="1:9" ht="18.75" x14ac:dyDescent="0.3">
      <c r="A132" s="188"/>
      <c r="B132" s="188"/>
      <c r="C132" s="189"/>
      <c r="D132" s="189"/>
      <c r="E132" s="189"/>
      <c r="F132" s="192"/>
      <c r="G132" s="189"/>
      <c r="H132" s="189"/>
      <c r="I132" s="99"/>
    </row>
    <row r="133" spans="1:9" ht="18.75" x14ac:dyDescent="0.3">
      <c r="A133" s="188"/>
      <c r="B133" s="188"/>
      <c r="C133" s="189"/>
      <c r="D133" s="189"/>
      <c r="E133" s="189"/>
      <c r="F133" s="192"/>
      <c r="G133" s="189"/>
      <c r="H133" s="189"/>
      <c r="I133" s="99"/>
    </row>
    <row r="134" spans="1:9" ht="18.75" x14ac:dyDescent="0.3">
      <c r="A134" s="188"/>
      <c r="B134" s="188"/>
      <c r="C134" s="189"/>
      <c r="D134" s="189"/>
      <c r="E134" s="189"/>
      <c r="F134" s="192"/>
      <c r="G134" s="189"/>
      <c r="H134" s="189"/>
      <c r="I134" s="99"/>
    </row>
    <row r="135" spans="1:9" ht="18.75" x14ac:dyDescent="0.3">
      <c r="A135" s="188"/>
      <c r="B135" s="188"/>
      <c r="C135" s="189"/>
      <c r="D135" s="189"/>
      <c r="E135" s="189"/>
      <c r="F135" s="192"/>
      <c r="G135" s="189"/>
      <c r="H135" s="189"/>
      <c r="I135" s="99"/>
    </row>
    <row r="136" spans="1:9" ht="18.75" x14ac:dyDescent="0.3">
      <c r="A136" s="188"/>
      <c r="B136" s="188"/>
      <c r="C136" s="189"/>
      <c r="D136" s="189"/>
      <c r="E136" s="189"/>
      <c r="F136" s="192"/>
      <c r="G136" s="189"/>
      <c r="H136" s="189"/>
      <c r="I136" s="99"/>
    </row>
    <row r="137" spans="1:9" ht="18.75" x14ac:dyDescent="0.3">
      <c r="A137" s="188"/>
      <c r="B137" s="188"/>
      <c r="C137" s="189"/>
      <c r="D137" s="189"/>
      <c r="E137" s="189"/>
      <c r="F137" s="192"/>
      <c r="G137" s="189"/>
      <c r="H137" s="189"/>
      <c r="I137" s="99"/>
    </row>
    <row r="138" spans="1:9" ht="18.75" x14ac:dyDescent="0.3">
      <c r="A138" s="188"/>
      <c r="B138" s="188"/>
      <c r="C138" s="189"/>
      <c r="D138" s="189"/>
      <c r="E138" s="189"/>
      <c r="F138" s="192"/>
      <c r="G138" s="189"/>
      <c r="H138" s="189"/>
      <c r="I138" s="9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tenofovir disoproxyl fumarate 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2018-05-15T08:59:09Z</cp:lastPrinted>
  <dcterms:created xsi:type="dcterms:W3CDTF">2005-07-05T10:19:27Z</dcterms:created>
  <dcterms:modified xsi:type="dcterms:W3CDTF">2018-05-15T09:02:30Z</dcterms:modified>
</cp:coreProperties>
</file>