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3"/>
  </bookViews>
  <sheets>
    <sheet name=" TRIM SST" sheetId="5" r:id="rId1"/>
    <sheet name="SULFS SST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0">' TRIM SST'!$A$15:$G$62</definedName>
    <definedName name="_xlnm.Print_Area" localSheetId="1">'SULFS SST'!$A$15:$G$64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6" l="1"/>
  <c r="B21" i="5" l="1"/>
  <c r="D68" i="4"/>
  <c r="D64" i="4"/>
  <c r="D60" i="4"/>
  <c r="B57" i="3" l="1"/>
  <c r="B32" i="6"/>
  <c r="G30" i="6"/>
  <c r="F30" i="6"/>
  <c r="E30" i="6"/>
  <c r="D30" i="6"/>
  <c r="C30" i="6"/>
  <c r="B30" i="6"/>
  <c r="B31" i="6" s="1"/>
  <c r="B32" i="5"/>
  <c r="F30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4" s="1"/>
  <c r="C45" i="2"/>
  <c r="D43" i="2"/>
  <c r="D40" i="2"/>
  <c r="D39" i="2"/>
  <c r="D36" i="2"/>
  <c r="D35" i="2"/>
  <c r="D32" i="2"/>
  <c r="D31" i="2"/>
  <c r="D29" i="2"/>
  <c r="D28" i="2"/>
  <c r="D27" i="2"/>
  <c r="D25" i="2"/>
  <c r="D24" i="2"/>
  <c r="C19" i="2"/>
  <c r="D101" i="3" l="1"/>
  <c r="D102" i="3" s="1"/>
  <c r="I92" i="4"/>
  <c r="D101" i="4"/>
  <c r="D102" i="4" s="1"/>
  <c r="I39" i="4"/>
  <c r="D44" i="4"/>
  <c r="D45" i="4" s="1"/>
  <c r="D49" i="4"/>
  <c r="F45" i="4"/>
  <c r="G41" i="4" s="1"/>
  <c r="D45" i="3"/>
  <c r="D46" i="3" s="1"/>
  <c r="I39" i="3"/>
  <c r="B69" i="4"/>
  <c r="D49" i="3"/>
  <c r="E40" i="3"/>
  <c r="E38" i="3"/>
  <c r="E41" i="3"/>
  <c r="G39" i="3"/>
  <c r="E39" i="3"/>
  <c r="F98" i="3"/>
  <c r="F99" i="3" s="1"/>
  <c r="F98" i="4"/>
  <c r="F44" i="3"/>
  <c r="F45" i="3" s="1"/>
  <c r="F46" i="3" s="1"/>
  <c r="D97" i="4"/>
  <c r="D98" i="4" s="1"/>
  <c r="B69" i="3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D50" i="2"/>
  <c r="E94" i="3" l="1"/>
  <c r="E91" i="4"/>
  <c r="G39" i="4"/>
  <c r="G38" i="4"/>
  <c r="E38" i="4"/>
  <c r="D46" i="4"/>
  <c r="E41" i="4"/>
  <c r="E40" i="4"/>
  <c r="G40" i="4"/>
  <c r="E39" i="4"/>
  <c r="F46" i="4"/>
  <c r="E93" i="3"/>
  <c r="G40" i="3"/>
  <c r="G41" i="3"/>
  <c r="E91" i="3"/>
  <c r="E92" i="3"/>
  <c r="E94" i="4"/>
  <c r="D99" i="4"/>
  <c r="E92" i="4"/>
  <c r="E93" i="4"/>
  <c r="E42" i="3"/>
  <c r="F99" i="4"/>
  <c r="G92" i="4"/>
  <c r="G93" i="4"/>
  <c r="G91" i="4"/>
  <c r="G38" i="3"/>
  <c r="G94" i="4"/>
  <c r="G94" i="3"/>
  <c r="G93" i="3"/>
  <c r="G92" i="3"/>
  <c r="G91" i="3"/>
  <c r="G95" i="3" l="1"/>
  <c r="D103" i="4"/>
  <c r="E109" i="4" s="1"/>
  <c r="F109" i="4" s="1"/>
  <c r="D50" i="4"/>
  <c r="G67" i="4" s="1"/>
  <c r="H67" i="4" s="1"/>
  <c r="G42" i="4"/>
  <c r="E42" i="4"/>
  <c r="D52" i="4"/>
  <c r="D105" i="4"/>
  <c r="E95" i="4"/>
  <c r="G95" i="4"/>
  <c r="G42" i="3"/>
  <c r="D50" i="3"/>
  <c r="D51" i="3" s="1"/>
  <c r="D52" i="3"/>
  <c r="E95" i="3"/>
  <c r="D105" i="3"/>
  <c r="D103" i="3"/>
  <c r="G68" i="3"/>
  <c r="H68" i="3" s="1"/>
  <c r="G62" i="3"/>
  <c r="H62" i="3" s="1"/>
  <c r="G71" i="3"/>
  <c r="H71" i="3" s="1"/>
  <c r="G69" i="3"/>
  <c r="H69" i="3" s="1"/>
  <c r="G66" i="3"/>
  <c r="H66" i="3" s="1"/>
  <c r="G64" i="3"/>
  <c r="H64" i="3" s="1"/>
  <c r="G60" i="3"/>
  <c r="G70" i="3"/>
  <c r="H70" i="3" s="1"/>
  <c r="G67" i="3"/>
  <c r="H67" i="3" s="1"/>
  <c r="G65" i="3"/>
  <c r="H65" i="3" s="1"/>
  <c r="G63" i="3"/>
  <c r="H63" i="3" s="1"/>
  <c r="G61" i="3"/>
  <c r="H61" i="3" s="1"/>
  <c r="E113" i="4"/>
  <c r="F113" i="4" s="1"/>
  <c r="E110" i="4" l="1"/>
  <c r="F110" i="4" s="1"/>
  <c r="E112" i="4"/>
  <c r="F112" i="4" s="1"/>
  <c r="D104" i="4"/>
  <c r="E111" i="4"/>
  <c r="F111" i="4" s="1"/>
  <c r="E108" i="4"/>
  <c r="F108" i="4" s="1"/>
  <c r="G66" i="4"/>
  <c r="H66" i="4" s="1"/>
  <c r="G61" i="4"/>
  <c r="H61" i="4" s="1"/>
  <c r="G70" i="4"/>
  <c r="H70" i="4" s="1"/>
  <c r="G60" i="4"/>
  <c r="H60" i="4" s="1"/>
  <c r="D51" i="4"/>
  <c r="G69" i="4"/>
  <c r="H69" i="4" s="1"/>
  <c r="G63" i="4"/>
  <c r="H63" i="4" s="1"/>
  <c r="G62" i="4"/>
  <c r="H62" i="4" s="1"/>
  <c r="G71" i="4"/>
  <c r="H71" i="4" s="1"/>
  <c r="G65" i="4"/>
  <c r="H65" i="4" s="1"/>
  <c r="G64" i="4"/>
  <c r="H64" i="4" s="1"/>
  <c r="G68" i="4"/>
  <c r="H68" i="4" s="1"/>
  <c r="H60" i="3"/>
  <c r="G74" i="3"/>
  <c r="G72" i="3"/>
  <c r="G73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20" i="4" l="1"/>
  <c r="E117" i="4"/>
  <c r="E119" i="4"/>
  <c r="E115" i="4"/>
  <c r="E116" i="4" s="1"/>
  <c r="G74" i="4"/>
  <c r="G72" i="4"/>
  <c r="G73" i="4" s="1"/>
  <c r="H74" i="4"/>
  <c r="H72" i="4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H74" i="3"/>
  <c r="H72" i="3"/>
  <c r="G76" i="3" l="1"/>
  <c r="H73" i="3"/>
  <c r="F119" i="3"/>
  <c r="F125" i="3"/>
  <c r="F120" i="3"/>
  <c r="F117" i="3"/>
  <c r="D125" i="3"/>
  <c r="F115" i="3"/>
  <c r="G76" i="4"/>
  <c r="H73" i="4"/>
  <c r="G124" i="4"/>
  <c r="F116" i="4"/>
  <c r="G124" i="3" l="1"/>
  <c r="F116" i="3"/>
</calcChain>
</file>

<file path=xl/sharedStrings.xml><?xml version="1.0" encoding="utf-8"?>
<sst xmlns="http://schemas.openxmlformats.org/spreadsheetml/2006/main" count="467" uniqueCount="146">
  <si>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</si>
  <si>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</si>
  <si>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</si>
  <si>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</si>
  <si>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</si>
  <si>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</si>
  <si>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</si>
  <si>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NDQB201805436</t>
  </si>
  <si>
    <t>Weight (mg):</t>
  </si>
  <si>
    <t>each tablets contains sulphamethoxazole 800mg Trimethoprim 160mg.</t>
  </si>
  <si>
    <t>Standard Conc (mg/mL):</t>
  </si>
  <si>
    <t>Each tablet contains: Sulphamethoxazole BP 800 mg and Trimethoprim BP 160 mg.</t>
  </si>
  <si>
    <t>2018-06-04 11:55:20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</si>
  <si>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</si>
  <si>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</si>
  <si>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</si>
  <si>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</si>
  <si>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</si>
  <si>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</si>
  <si>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</si>
  <si>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</si>
  <si>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</si>
  <si>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</si>
  <si>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</si>
  <si>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</si>
  <si>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</si>
  <si>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</si>
  <si>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</si>
  <si>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</si>
  <si>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</si>
  <si>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</si>
  <si>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</si>
  <si>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</si>
  <si>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</si>
  <si>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</si>
  <si>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</si>
  <si>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</si>
  <si>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</si>
  <si>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</si>
  <si>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</si>
  <si>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</si>
  <si>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</si>
  <si>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</si>
  <si>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</si>
  <si>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</si>
  <si>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</si>
  <si>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</si>
  <si>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</si>
  <si>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</si>
  <si>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</si>
  <si>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</si>
  <si>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</si>
  <si>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</si>
  <si>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</si>
  <si>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</si>
  <si>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</si>
  <si>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</si>
  <si>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</si>
  <si>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</si>
  <si>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</si>
  <si>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</si>
  <si>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</si>
  <si>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</si>
  <si>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</si>
  <si>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</si>
  <si>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</si>
  <si>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</si>
  <si>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</si>
  <si>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</si>
  <si>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</si>
  <si>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</si>
  <si>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</si>
  <si>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</si>
  <si>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</si>
  <si>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</si>
  <si>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</si>
  <si>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</si>
  <si>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</si>
  <si>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</si>
  <si>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</si>
  <si>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</si>
  <si>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</si>
  <si>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</si>
  <si>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</si>
  <si>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</si>
  <si>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</si>
  <si>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</si>
  <si>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</si>
  <si>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</si>
  <si>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</si>
  <si>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</si>
  <si>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</si>
  <si>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</si>
  <si>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</si>
  <si>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</si>
  <si>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</si>
  <si>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</si>
  <si>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</si>
  <si>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</si>
  <si>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</si>
  <si>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</si>
  <si>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</si>
  <si>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</si>
  <si>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</si>
  <si>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</si>
  <si>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</si>
  <si>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</si>
  <si>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</si>
  <si>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</si>
  <si>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</si>
  <si>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</si>
  <si>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</si>
  <si>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</si>
  <si>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</si>
  <si>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</si>
  <si>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</si>
  <si>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</si>
  <si>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</si>
  <si>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</si>
  <si>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</si>
  <si>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</si>
  <si>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</si>
  <si>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</si>
  <si>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</si>
  <si>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</si>
  <si>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</si>
  <si>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</si>
  <si>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</si>
  <si>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CO-TRIMOXAZOLE TABLETS BP 960 MG</t>
  </si>
  <si>
    <t>Trimethoprim</t>
  </si>
  <si>
    <t>2018-03-13 14:03:39</t>
  </si>
  <si>
    <t>Relative Retention time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</si>
  <si>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</si>
  <si>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</si>
  <si>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</si>
  <si>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The RRT for Trimethoprim and Sulfamethoxazole are 1.0 </t>
  </si>
  <si>
    <t>sarah</t>
  </si>
  <si>
    <t>26-03-2017</t>
  </si>
  <si>
    <t>Sulfamethoxazole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</si>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</sst>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5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30" fillId="2" borderId="0" xfId="1" applyFont="1" applyFill="1"/>
    <xf numFmtId="0" fontId="29" fillId="2" borderId="0" xfId="1" applyFont="1" applyFill="1" applyAlignment="1">
      <alignment horizontal="center"/>
    </xf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29" fillId="2" borderId="0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2" fontId="31" fillId="3" borderId="0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2" xfId="1" applyNumberFormat="1" applyFont="1" applyFill="1" applyBorder="1" applyAlignment="1">
      <alignment horizontal="center"/>
    </xf>
    <xf numFmtId="2" fontId="29" fillId="8" borderId="57" xfId="1" applyNumberFormat="1" applyFont="1" applyFill="1" applyBorder="1" applyAlignment="1">
      <alignment horizontal="center"/>
    </xf>
    <xf numFmtId="2" fontId="26" fillId="9" borderId="58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59" xfId="1" applyFont="1" applyFill="1" applyBorder="1"/>
    <xf numFmtId="2" fontId="31" fillId="3" borderId="26" xfId="1" applyNumberFormat="1" applyFont="1" applyFill="1" applyBorder="1" applyAlignment="1" applyProtection="1">
      <alignment horizontal="center"/>
      <protection locked="0"/>
    </xf>
    <xf numFmtId="0" fontId="26" fillId="10" borderId="60" xfId="1" applyFont="1" applyFill="1" applyBorder="1" applyAlignment="1">
      <alignment horizontal="center"/>
    </xf>
    <xf numFmtId="2" fontId="31" fillId="3" borderId="31" xfId="1" applyNumberFormat="1" applyFont="1" applyFill="1" applyBorder="1" applyAlignment="1" applyProtection="1">
      <alignment horizontal="center"/>
      <protection locked="0"/>
    </xf>
    <xf numFmtId="0" fontId="26" fillId="10" borderId="61" xfId="1" applyFont="1" applyFill="1" applyBorder="1" applyAlignment="1">
      <alignment horizontal="center"/>
    </xf>
    <xf numFmtId="2" fontId="31" fillId="3" borderId="35" xfId="1" applyNumberFormat="1" applyFont="1" applyFill="1" applyBorder="1" applyAlignment="1" applyProtection="1">
      <alignment horizontal="center"/>
      <protection locked="0"/>
    </xf>
    <xf numFmtId="0" fontId="26" fillId="10" borderId="62" xfId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26" fillId="9" borderId="0" xfId="1" applyFont="1" applyFill="1"/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9" fillId="2" borderId="63" xfId="1" applyFont="1" applyFill="1" applyBorder="1" applyAlignment="1">
      <alignment horizontal="center"/>
    </xf>
    <xf numFmtId="0" fontId="29" fillId="2" borderId="64" xfId="1" applyFont="1" applyFill="1" applyBorder="1" applyAlignment="1">
      <alignment horizontal="center"/>
    </xf>
    <xf numFmtId="2" fontId="31" fillId="3" borderId="61" xfId="1" applyNumberFormat="1" applyFont="1" applyFill="1" applyBorder="1" applyAlignment="1" applyProtection="1">
      <alignment horizontal="center"/>
      <protection locked="0"/>
    </xf>
    <xf numFmtId="2" fontId="31" fillId="3" borderId="65" xfId="1" applyNumberFormat="1" applyFont="1" applyFill="1" applyBorder="1" applyAlignment="1" applyProtection="1">
      <alignment horizontal="center"/>
      <protection locked="0"/>
    </xf>
    <xf numFmtId="2" fontId="26" fillId="9" borderId="59" xfId="1" applyNumberFormat="1" applyFont="1" applyFill="1" applyBorder="1" applyAlignment="1">
      <alignment horizontal="center"/>
    </xf>
    <xf numFmtId="0" fontId="30" fillId="2" borderId="0" xfId="1" applyFont="1" applyFill="1" applyBorder="1"/>
    <xf numFmtId="0" fontId="26" fillId="2" borderId="61" xfId="1" applyFont="1" applyFill="1" applyBorder="1"/>
    <xf numFmtId="0" fontId="26" fillId="2" borderId="65" xfId="1" applyFont="1" applyFill="1" applyBorder="1"/>
    <xf numFmtId="0" fontId="26" fillId="2" borderId="62" xfId="1" applyFont="1" applyFill="1" applyBorder="1"/>
    <xf numFmtId="0" fontId="26" fillId="2" borderId="66" xfId="1" applyFont="1" applyFill="1" applyBorder="1"/>
    <xf numFmtId="0" fontId="25" fillId="2" borderId="59" xfId="1" applyFont="1" applyFill="1" applyBorder="1"/>
    <xf numFmtId="0" fontId="25" fillId="10" borderId="61" xfId="1" applyFont="1" applyFill="1" applyBorder="1" applyAlignment="1">
      <alignment horizontal="center"/>
    </xf>
    <xf numFmtId="0" fontId="26" fillId="9" borderId="61" xfId="1" applyFont="1" applyFill="1" applyBorder="1" applyAlignment="1">
      <alignment horizontal="center"/>
    </xf>
    <xf numFmtId="0" fontId="25" fillId="9" borderId="61" xfId="1" applyFont="1" applyFill="1" applyBorder="1" applyAlignment="1">
      <alignment horizontal="center"/>
    </xf>
    <xf numFmtId="0" fontId="25" fillId="2" borderId="61" xfId="1" applyFont="1" applyFill="1" applyBorder="1"/>
    <xf numFmtId="0" fontId="25" fillId="2" borderId="62" xfId="1" applyFont="1" applyFill="1" applyBorder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3" zoomScale="70" zoomScaleNormal="70" workbookViewId="0">
      <selection activeCell="B37" sqref="B37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26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128</v>
      </c>
      <c r="C17" s="482"/>
      <c r="D17" s="483"/>
      <c r="E17" s="482"/>
    </row>
    <row r="18" spans="1:6" ht="16.5" customHeight="1" x14ac:dyDescent="0.3">
      <c r="A18" s="484" t="s">
        <v>4</v>
      </c>
      <c r="B18" s="485" t="s">
        <v>129</v>
      </c>
      <c r="C18" s="482"/>
      <c r="D18" s="482"/>
      <c r="E18" s="482"/>
    </row>
    <row r="19" spans="1:6" ht="16.5" customHeight="1" x14ac:dyDescent="0.3">
      <c r="A19" s="484" t="s">
        <v>6</v>
      </c>
      <c r="B19" s="485">
        <v>99.75</v>
      </c>
      <c r="C19" s="482"/>
      <c r="D19" s="482"/>
      <c r="E19" s="482"/>
    </row>
    <row r="20" spans="1:6" ht="16.5" customHeight="1" x14ac:dyDescent="0.3">
      <c r="A20" s="481" t="s">
        <v>8</v>
      </c>
      <c r="B20" s="485">
        <v>25.04</v>
      </c>
      <c r="C20" s="482"/>
      <c r="D20" s="482"/>
      <c r="E20" s="482"/>
    </row>
    <row r="21" spans="1:6" ht="16.5" customHeight="1" x14ac:dyDescent="0.3">
      <c r="A21" s="481" t="s">
        <v>10</v>
      </c>
      <c r="B21" s="486">
        <f>B20/25*4/100</f>
        <v>4.0064000000000002E-2</v>
      </c>
      <c r="C21" s="482"/>
      <c r="D21" s="482"/>
      <c r="E21" s="482"/>
    </row>
    <row r="22" spans="1:6" ht="15.75" customHeight="1" x14ac:dyDescent="0.25">
      <c r="A22" s="482"/>
      <c r="B22" s="482" t="s">
        <v>130</v>
      </c>
      <c r="C22" s="482"/>
      <c r="D22" s="482"/>
      <c r="E22" s="482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9" t="s">
        <v>131</v>
      </c>
    </row>
    <row r="24" spans="1:6" ht="16.5" customHeight="1" x14ac:dyDescent="0.3">
      <c r="A24" s="490">
        <v>1</v>
      </c>
      <c r="B24" s="491">
        <v>3512570</v>
      </c>
      <c r="C24" s="491">
        <v>8626.5</v>
      </c>
      <c r="D24" s="492">
        <v>1.1000000000000001</v>
      </c>
      <c r="E24" s="493">
        <v>5.4</v>
      </c>
      <c r="F24" s="494">
        <v>1</v>
      </c>
    </row>
    <row r="25" spans="1:6" ht="16.5" customHeight="1" x14ac:dyDescent="0.3">
      <c r="A25" s="490">
        <v>2</v>
      </c>
      <c r="B25" s="491">
        <v>3524571</v>
      </c>
      <c r="C25" s="491">
        <v>8600</v>
      </c>
      <c r="D25" s="492">
        <v>1.1000000000000001</v>
      </c>
      <c r="E25" s="492">
        <v>5.4</v>
      </c>
      <c r="F25" s="494">
        <v>1</v>
      </c>
    </row>
    <row r="26" spans="1:6" ht="16.5" customHeight="1" x14ac:dyDescent="0.3">
      <c r="A26" s="490">
        <v>3</v>
      </c>
      <c r="B26" s="491">
        <v>3507041</v>
      </c>
      <c r="C26" s="491">
        <v>8618.1</v>
      </c>
      <c r="D26" s="492">
        <v>1.1000000000000001</v>
      </c>
      <c r="E26" s="492">
        <v>5.4</v>
      </c>
      <c r="F26" s="494">
        <v>1</v>
      </c>
    </row>
    <row r="27" spans="1:6" ht="16.5" customHeight="1" x14ac:dyDescent="0.3">
      <c r="A27" s="490">
        <v>4</v>
      </c>
      <c r="B27" s="491">
        <v>3511646</v>
      </c>
      <c r="C27" s="491">
        <v>8587.7999999999993</v>
      </c>
      <c r="D27" s="492">
        <v>1.1000000000000001</v>
      </c>
      <c r="E27" s="492">
        <v>5.4</v>
      </c>
      <c r="F27" s="494">
        <v>1</v>
      </c>
    </row>
    <row r="28" spans="1:6" ht="16.5" customHeight="1" x14ac:dyDescent="0.3">
      <c r="A28" s="490">
        <v>5</v>
      </c>
      <c r="B28" s="491">
        <v>3507075</v>
      </c>
      <c r="C28" s="491">
        <v>8516.9</v>
      </c>
      <c r="D28" s="492">
        <v>1.1000000000000001</v>
      </c>
      <c r="E28" s="492">
        <v>5.4</v>
      </c>
      <c r="F28" s="494">
        <v>1</v>
      </c>
    </row>
    <row r="29" spans="1:6" ht="16.5" customHeight="1" thickBot="1" x14ac:dyDescent="0.35">
      <c r="A29" s="490">
        <v>6</v>
      </c>
      <c r="B29" s="495">
        <v>3508370</v>
      </c>
      <c r="C29" s="495">
        <v>8507.4</v>
      </c>
      <c r="D29" s="496">
        <v>1.1000000000000001</v>
      </c>
      <c r="E29" s="492">
        <v>5.4</v>
      </c>
      <c r="F29" s="494">
        <v>1</v>
      </c>
    </row>
    <row r="30" spans="1:6" ht="16.5" customHeight="1" thickBot="1" x14ac:dyDescent="0.35">
      <c r="A30" s="497" t="s">
        <v>18</v>
      </c>
      <c r="B30" s="498">
        <f>AVERAGE(B24:B29)</f>
        <v>3511878.8333333335</v>
      </c>
      <c r="C30" s="499">
        <f>AVERAGE(C24:C29)</f>
        <v>8576.1166666666668</v>
      </c>
      <c r="D30" s="500">
        <f>AVERAGE(D24:D29)</f>
        <v>1.0999999999999999</v>
      </c>
      <c r="E30" s="501">
        <f>AVERAGE(E24:E29)</f>
        <v>5.3999999999999995</v>
      </c>
      <c r="F30" s="502">
        <f>AVERAGE(F24:F29)</f>
        <v>1</v>
      </c>
    </row>
    <row r="31" spans="1:6" ht="16.5" customHeight="1" x14ac:dyDescent="0.3">
      <c r="A31" s="503" t="s">
        <v>19</v>
      </c>
      <c r="B31" s="504">
        <f>(STDEV(B24:B29)/B30)</f>
        <v>1.8905901984051577E-3</v>
      </c>
      <c r="C31" s="505"/>
      <c r="D31" s="505"/>
      <c r="E31" s="506"/>
    </row>
    <row r="32" spans="1:6" s="476" customFormat="1" ht="16.5" customHeight="1" x14ac:dyDescent="0.3">
      <c r="A32" s="507" t="s">
        <v>20</v>
      </c>
      <c r="B32" s="508">
        <f>COUNT(B24:B29)</f>
        <v>6</v>
      </c>
      <c r="C32" s="509"/>
      <c r="D32" s="510"/>
      <c r="E32" s="511"/>
    </row>
    <row r="33" spans="1:6" s="476" customFormat="1" ht="15.75" customHeight="1" x14ac:dyDescent="0.25">
      <c r="A33" s="482"/>
      <c r="B33" s="482"/>
      <c r="C33" s="482"/>
      <c r="D33" s="482"/>
      <c r="E33" s="482"/>
    </row>
    <row r="34" spans="1:6" s="476" customFormat="1" ht="16.5" customHeight="1" x14ac:dyDescent="0.3">
      <c r="A34" s="484" t="s">
        <v>21</v>
      </c>
      <c r="B34" s="512" t="s">
        <v>132</v>
      </c>
      <c r="C34" s="513"/>
      <c r="D34" s="513"/>
      <c r="E34" s="513"/>
    </row>
    <row r="35" spans="1:6" ht="16.5" customHeight="1" x14ac:dyDescent="0.3">
      <c r="A35" s="484"/>
      <c r="B35" s="512" t="s">
        <v>133</v>
      </c>
      <c r="C35" s="513"/>
      <c r="D35" s="513"/>
      <c r="E35" s="513"/>
    </row>
    <row r="36" spans="1:6" ht="16.5" customHeight="1" x14ac:dyDescent="0.3">
      <c r="A36" s="484"/>
      <c r="B36" s="512" t="s">
        <v>134</v>
      </c>
      <c r="C36" s="513"/>
      <c r="D36" s="513"/>
      <c r="E36" s="513"/>
    </row>
    <row r="37" spans="1:6" ht="15.75" customHeight="1" x14ac:dyDescent="0.25">
      <c r="A37" s="482"/>
      <c r="B37" s="482" t="s">
        <v>135</v>
      </c>
      <c r="C37" s="482"/>
      <c r="D37" s="482"/>
      <c r="E37" s="482"/>
    </row>
    <row r="38" spans="1:6" ht="16.5" customHeight="1" x14ac:dyDescent="0.3">
      <c r="A38" s="479" t="s">
        <v>1</v>
      </c>
      <c r="B38" s="480" t="s">
        <v>22</v>
      </c>
    </row>
    <row r="39" spans="1:6" ht="16.5" customHeight="1" x14ac:dyDescent="0.3">
      <c r="A39" s="484" t="s">
        <v>4</v>
      </c>
      <c r="B39" s="481" t="s">
        <v>129</v>
      </c>
      <c r="C39" s="482"/>
      <c r="D39" s="482"/>
      <c r="E39" s="482"/>
    </row>
    <row r="40" spans="1:6" ht="16.5" customHeight="1" x14ac:dyDescent="0.3">
      <c r="A40" s="484" t="s">
        <v>6</v>
      </c>
      <c r="B40" s="485">
        <v>99.75</v>
      </c>
      <c r="C40" s="482"/>
      <c r="D40" s="482"/>
      <c r="E40" s="482"/>
    </row>
    <row r="41" spans="1:6" ht="16.5" customHeight="1" x14ac:dyDescent="0.3">
      <c r="A41" s="481" t="s">
        <v>8</v>
      </c>
      <c r="B41" s="485">
        <v>25.04</v>
      </c>
      <c r="C41" s="482"/>
      <c r="D41" s="482"/>
      <c r="E41" s="482"/>
    </row>
    <row r="42" spans="1:6" ht="16.5" customHeight="1" x14ac:dyDescent="0.3">
      <c r="A42" s="481" t="s">
        <v>10</v>
      </c>
      <c r="B42" s="486">
        <v>4.0064000000000002E-2</v>
      </c>
      <c r="C42" s="482"/>
      <c r="D42" s="482"/>
      <c r="E42" s="482"/>
    </row>
    <row r="43" spans="1:6" ht="15.75" customHeight="1" thickBot="1" x14ac:dyDescent="0.3">
      <c r="A43" s="482"/>
      <c r="B43" s="482"/>
      <c r="C43" s="482"/>
      <c r="D43" s="482"/>
      <c r="E43" s="482"/>
    </row>
    <row r="44" spans="1:6" ht="16.5" customHeight="1" thickBot="1" x14ac:dyDescent="0.35">
      <c r="A44" s="487" t="s">
        <v>13</v>
      </c>
      <c r="B44" s="488" t="s">
        <v>14</v>
      </c>
      <c r="C44" s="487" t="s">
        <v>15</v>
      </c>
      <c r="D44" s="487" t="s">
        <v>16</v>
      </c>
      <c r="E44" s="488" t="s">
        <v>17</v>
      </c>
      <c r="F44" s="514" t="s">
        <v>131</v>
      </c>
    </row>
    <row r="45" spans="1:6" ht="16.5" customHeight="1" x14ac:dyDescent="0.3">
      <c r="A45" s="490">
        <v>1</v>
      </c>
      <c r="B45" s="491">
        <v>3512570</v>
      </c>
      <c r="C45" s="491">
        <v>8626.5</v>
      </c>
      <c r="D45" s="492">
        <v>1.1000000000000001</v>
      </c>
      <c r="E45" s="515">
        <v>5.4</v>
      </c>
      <c r="F45" s="516">
        <v>1</v>
      </c>
    </row>
    <row r="46" spans="1:6" ht="16.5" customHeight="1" x14ac:dyDescent="0.3">
      <c r="A46" s="490">
        <v>2</v>
      </c>
      <c r="B46" s="491">
        <v>3524571</v>
      </c>
      <c r="C46" s="491">
        <v>8600</v>
      </c>
      <c r="D46" s="492">
        <v>1.1000000000000001</v>
      </c>
      <c r="E46" s="517">
        <v>5.4</v>
      </c>
      <c r="F46" s="518">
        <v>1</v>
      </c>
    </row>
    <row r="47" spans="1:6" ht="16.5" customHeight="1" x14ac:dyDescent="0.3">
      <c r="A47" s="490">
        <v>3</v>
      </c>
      <c r="B47" s="491">
        <v>3507041</v>
      </c>
      <c r="C47" s="491">
        <v>8618.1</v>
      </c>
      <c r="D47" s="492">
        <v>1.1000000000000001</v>
      </c>
      <c r="E47" s="517">
        <v>5.4</v>
      </c>
      <c r="F47" s="518">
        <v>1</v>
      </c>
    </row>
    <row r="48" spans="1:6" ht="16.5" customHeight="1" x14ac:dyDescent="0.3">
      <c r="A48" s="490">
        <v>4</v>
      </c>
      <c r="B48" s="491">
        <v>3511646</v>
      </c>
      <c r="C48" s="491">
        <v>8587.7999999999993</v>
      </c>
      <c r="D48" s="492">
        <v>1.1000000000000001</v>
      </c>
      <c r="E48" s="517">
        <v>5.4</v>
      </c>
      <c r="F48" s="518">
        <v>1</v>
      </c>
    </row>
    <row r="49" spans="1:7" ht="16.5" customHeight="1" x14ac:dyDescent="0.3">
      <c r="A49" s="490">
        <v>5</v>
      </c>
      <c r="B49" s="491">
        <v>3507075</v>
      </c>
      <c r="C49" s="491">
        <v>8516.9</v>
      </c>
      <c r="D49" s="492">
        <v>1.1000000000000001</v>
      </c>
      <c r="E49" s="517">
        <v>5.4</v>
      </c>
      <c r="F49" s="518">
        <v>1</v>
      </c>
    </row>
    <row r="50" spans="1:7" ht="16.5" customHeight="1" thickBot="1" x14ac:dyDescent="0.35">
      <c r="A50" s="490">
        <v>6</v>
      </c>
      <c r="B50" s="495">
        <v>3508370</v>
      </c>
      <c r="C50" s="495">
        <v>8507.4</v>
      </c>
      <c r="D50" s="496">
        <v>1.1000000000000001</v>
      </c>
      <c r="E50" s="519">
        <v>5.4</v>
      </c>
      <c r="F50" s="520">
        <v>1</v>
      </c>
    </row>
    <row r="51" spans="1:7" ht="16.5" customHeight="1" x14ac:dyDescent="0.3">
      <c r="A51" s="497" t="s">
        <v>18</v>
      </c>
      <c r="B51" s="498">
        <v>2756934.5</v>
      </c>
      <c r="C51" s="499">
        <v>6177.6166666666659</v>
      </c>
      <c r="D51" s="521">
        <v>1.2</v>
      </c>
      <c r="E51" s="521">
        <v>5.3</v>
      </c>
      <c r="F51" s="522">
        <v>1</v>
      </c>
    </row>
    <row r="52" spans="1:7" ht="16.5" customHeight="1" x14ac:dyDescent="0.3">
      <c r="A52" s="503" t="s">
        <v>19</v>
      </c>
      <c r="B52" s="504">
        <v>3.9464046969888205E-3</v>
      </c>
      <c r="C52" s="505"/>
      <c r="D52" s="505"/>
      <c r="E52" s="506"/>
    </row>
    <row r="53" spans="1:7" s="476" customFormat="1" ht="16.5" customHeight="1" x14ac:dyDescent="0.3">
      <c r="A53" s="507" t="s">
        <v>20</v>
      </c>
      <c r="B53" s="508">
        <v>6</v>
      </c>
      <c r="C53" s="509"/>
      <c r="D53" s="510"/>
      <c r="E53" s="511"/>
    </row>
    <row r="54" spans="1:7" s="476" customFormat="1" ht="15.75" customHeight="1" x14ac:dyDescent="0.25">
      <c r="A54" s="482"/>
      <c r="B54" s="482"/>
      <c r="C54" s="482"/>
      <c r="D54" s="482"/>
      <c r="E54" s="482"/>
    </row>
    <row r="55" spans="1:7" s="476" customFormat="1" ht="16.5" customHeight="1" x14ac:dyDescent="0.3">
      <c r="A55" s="484" t="s">
        <v>21</v>
      </c>
      <c r="B55" s="512" t="s">
        <v>132</v>
      </c>
      <c r="C55" s="513"/>
      <c r="D55" s="513"/>
      <c r="E55" s="513"/>
    </row>
    <row r="56" spans="1:7" ht="16.5" customHeight="1" x14ac:dyDescent="0.3">
      <c r="A56" s="484"/>
      <c r="B56" s="512" t="s">
        <v>133</v>
      </c>
      <c r="C56" s="513"/>
      <c r="D56" s="513"/>
      <c r="E56" s="513"/>
    </row>
    <row r="57" spans="1:7" ht="16.5" customHeight="1" x14ac:dyDescent="0.3">
      <c r="A57" s="484"/>
      <c r="B57" s="512" t="s">
        <v>134</v>
      </c>
      <c r="C57" s="513"/>
      <c r="D57" s="513"/>
      <c r="E57" s="513"/>
    </row>
    <row r="58" spans="1:7" ht="14.25" customHeight="1" thickBot="1" x14ac:dyDescent="0.3">
      <c r="A58" s="523"/>
      <c r="B58" s="524"/>
      <c r="D58" s="525"/>
      <c r="F58" s="526"/>
      <c r="G58" s="526"/>
    </row>
    <row r="59" spans="1:7" ht="15" customHeight="1" x14ac:dyDescent="0.3">
      <c r="B59" s="527" t="s">
        <v>23</v>
      </c>
      <c r="C59" s="527"/>
      <c r="E59" s="528" t="s">
        <v>24</v>
      </c>
      <c r="F59" s="529"/>
      <c r="G59" s="528" t="s">
        <v>25</v>
      </c>
    </row>
    <row r="60" spans="1:7" ht="15" customHeight="1" x14ac:dyDescent="0.3">
      <c r="A60" s="530" t="s">
        <v>26</v>
      </c>
      <c r="B60" s="531" t="s">
        <v>136</v>
      </c>
      <c r="C60" s="531"/>
      <c r="E60" s="531" t="s">
        <v>137</v>
      </c>
      <c r="G60" s="531"/>
    </row>
    <row r="61" spans="1:7" ht="15" customHeight="1" x14ac:dyDescent="0.3">
      <c r="A61" s="530" t="s">
        <v>27</v>
      </c>
      <c r="B61" s="532"/>
      <c r="C61" s="532"/>
      <c r="E61" s="532"/>
      <c r="G61" s="5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52" zoomScale="60" zoomScaleNormal="60" workbookViewId="0">
      <selection activeCell="B37" sqref="B37"/>
    </sheetView>
  </sheetViews>
  <sheetFormatPr defaultRowHeight="13.5" x14ac:dyDescent="0.25"/>
  <cols>
    <col min="1" max="1" width="27.5703125" style="476" customWidth="1"/>
    <col min="2" max="2" width="25.42578125" style="476" customWidth="1"/>
    <col min="3" max="3" width="31.85546875" style="476" customWidth="1"/>
    <col min="4" max="4" width="25.85546875" style="476" customWidth="1"/>
    <col min="5" max="5" width="29.7109375" style="476" customWidth="1"/>
    <col min="6" max="6" width="43.710937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26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7" ht="16.5" customHeight="1" x14ac:dyDescent="0.3">
      <c r="A17" s="481" t="s">
        <v>3</v>
      </c>
      <c r="B17" s="481" t="s">
        <v>128</v>
      </c>
      <c r="C17" s="482"/>
      <c r="D17" s="483"/>
      <c r="E17" s="482"/>
    </row>
    <row r="18" spans="1:7" ht="16.5" customHeight="1" x14ac:dyDescent="0.3">
      <c r="A18" s="484" t="s">
        <v>4</v>
      </c>
      <c r="B18" s="485" t="s">
        <v>138</v>
      </c>
      <c r="C18" s="482"/>
      <c r="D18" s="482"/>
      <c r="E18" s="482"/>
    </row>
    <row r="19" spans="1:7" ht="16.5" customHeight="1" x14ac:dyDescent="0.3">
      <c r="A19" s="484" t="s">
        <v>6</v>
      </c>
      <c r="B19" s="485">
        <v>99.02</v>
      </c>
      <c r="C19" s="482"/>
      <c r="D19" s="482"/>
      <c r="E19" s="482"/>
    </row>
    <row r="20" spans="1:7" ht="16.5" customHeight="1" x14ac:dyDescent="0.3">
      <c r="A20" s="481" t="s">
        <v>8</v>
      </c>
      <c r="B20" s="485">
        <v>17.09</v>
      </c>
      <c r="C20" s="482"/>
      <c r="D20" s="482"/>
      <c r="E20" s="482"/>
    </row>
    <row r="21" spans="1:7" ht="16.5" customHeight="1" x14ac:dyDescent="0.3">
      <c r="A21" s="481" t="s">
        <v>10</v>
      </c>
      <c r="B21" s="486">
        <f>B20/100</f>
        <v>0.1709</v>
      </c>
      <c r="C21" s="482"/>
      <c r="D21" s="482"/>
      <c r="E21" s="482"/>
    </row>
    <row r="22" spans="1:7" ht="15.75" customHeight="1" thickBot="1" x14ac:dyDescent="0.3">
      <c r="A22" s="482"/>
      <c r="B22" s="482" t="s">
        <v>139</v>
      </c>
      <c r="C22" s="482"/>
      <c r="D22" s="482"/>
      <c r="E22" s="482"/>
    </row>
    <row r="23" spans="1:7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8" t="s">
        <v>17</v>
      </c>
      <c r="F23" s="534" t="s">
        <v>140</v>
      </c>
      <c r="G23" s="535" t="s">
        <v>141</v>
      </c>
    </row>
    <row r="24" spans="1:7" ht="16.5" customHeight="1" x14ac:dyDescent="0.3">
      <c r="A24" s="490">
        <v>1</v>
      </c>
      <c r="B24" s="491">
        <v>41921995</v>
      </c>
      <c r="C24" s="491">
        <v>13123.1</v>
      </c>
      <c r="D24" s="492">
        <v>1</v>
      </c>
      <c r="E24" s="515">
        <v>11.7</v>
      </c>
      <c r="F24" s="536">
        <v>2.16</v>
      </c>
      <c r="G24" s="537">
        <v>19.8</v>
      </c>
    </row>
    <row r="25" spans="1:7" ht="16.5" customHeight="1" x14ac:dyDescent="0.3">
      <c r="A25" s="490">
        <v>2</v>
      </c>
      <c r="B25" s="491">
        <v>42093304</v>
      </c>
      <c r="C25" s="491">
        <v>13053</v>
      </c>
      <c r="D25" s="492">
        <v>1</v>
      </c>
      <c r="E25" s="517">
        <v>11.7</v>
      </c>
      <c r="F25" s="536">
        <v>2.16</v>
      </c>
      <c r="G25" s="537">
        <v>19.8</v>
      </c>
    </row>
    <row r="26" spans="1:7" ht="16.5" customHeight="1" x14ac:dyDescent="0.3">
      <c r="A26" s="490">
        <v>3</v>
      </c>
      <c r="B26" s="491">
        <v>41941728</v>
      </c>
      <c r="C26" s="491">
        <v>13088.9</v>
      </c>
      <c r="D26" s="492">
        <v>1</v>
      </c>
      <c r="E26" s="517">
        <v>11.7</v>
      </c>
      <c r="F26" s="536">
        <v>2.16</v>
      </c>
      <c r="G26" s="537">
        <v>19.8</v>
      </c>
    </row>
    <row r="27" spans="1:7" ht="16.5" customHeight="1" x14ac:dyDescent="0.3">
      <c r="A27" s="490">
        <v>4</v>
      </c>
      <c r="B27" s="491">
        <v>42009942</v>
      </c>
      <c r="C27" s="491">
        <v>13060</v>
      </c>
      <c r="D27" s="492">
        <v>1</v>
      </c>
      <c r="E27" s="517">
        <v>11.7</v>
      </c>
      <c r="F27" s="536">
        <v>2.16</v>
      </c>
      <c r="G27" s="537">
        <v>19.7</v>
      </c>
    </row>
    <row r="28" spans="1:7" ht="16.5" customHeight="1" x14ac:dyDescent="0.3">
      <c r="A28" s="490">
        <v>5</v>
      </c>
      <c r="B28" s="491">
        <v>41949704</v>
      </c>
      <c r="C28" s="491">
        <v>13006.9</v>
      </c>
      <c r="D28" s="492">
        <v>1</v>
      </c>
      <c r="E28" s="517">
        <v>11.7</v>
      </c>
      <c r="F28" s="536">
        <v>2.16</v>
      </c>
      <c r="G28" s="537">
        <v>19.7</v>
      </c>
    </row>
    <row r="29" spans="1:7" ht="16.5" customHeight="1" thickBot="1" x14ac:dyDescent="0.35">
      <c r="A29" s="490">
        <v>6</v>
      </c>
      <c r="B29" s="495">
        <v>41975704</v>
      </c>
      <c r="C29" s="495">
        <v>12991.6</v>
      </c>
      <c r="D29" s="496">
        <v>1</v>
      </c>
      <c r="E29" s="519">
        <v>11.7</v>
      </c>
      <c r="F29" s="536">
        <v>2.16</v>
      </c>
      <c r="G29" s="537">
        <v>19.7</v>
      </c>
    </row>
    <row r="30" spans="1:7" ht="16.5" customHeight="1" thickBot="1" x14ac:dyDescent="0.35">
      <c r="A30" s="497" t="s">
        <v>18</v>
      </c>
      <c r="B30" s="498">
        <f t="shared" ref="B30:G30" si="0">AVERAGE(B24:B29)</f>
        <v>41982062.833333336</v>
      </c>
      <c r="C30" s="499">
        <f t="shared" si="0"/>
        <v>13053.916666666666</v>
      </c>
      <c r="D30" s="521">
        <f t="shared" si="0"/>
        <v>1</v>
      </c>
      <c r="E30" s="500">
        <f t="shared" si="0"/>
        <v>11.700000000000001</v>
      </c>
      <c r="F30" s="538">
        <f t="shared" si="0"/>
        <v>2.16</v>
      </c>
      <c r="G30" s="502">
        <f t="shared" si="0"/>
        <v>19.750000000000004</v>
      </c>
    </row>
    <row r="31" spans="1:7" ht="16.5" customHeight="1" x14ac:dyDescent="0.3">
      <c r="A31" s="503" t="s">
        <v>19</v>
      </c>
      <c r="B31" s="504">
        <f>(STDEV(B24:B29)/B30)</f>
        <v>1.4865634815149156E-3</v>
      </c>
      <c r="C31" s="505"/>
      <c r="D31" s="505"/>
      <c r="E31" s="539"/>
      <c r="F31" s="540"/>
      <c r="G31" s="541"/>
    </row>
    <row r="32" spans="1:7" s="476" customFormat="1" ht="16.5" customHeight="1" thickBot="1" x14ac:dyDescent="0.35">
      <c r="A32" s="507" t="s">
        <v>20</v>
      </c>
      <c r="B32" s="508">
        <f>COUNT(B24:B29)</f>
        <v>6</v>
      </c>
      <c r="C32" s="509"/>
      <c r="D32" s="510"/>
      <c r="E32" s="510"/>
      <c r="F32" s="542"/>
      <c r="G32" s="543"/>
    </row>
    <row r="33" spans="1:7" s="476" customFormat="1" ht="15.75" customHeight="1" x14ac:dyDescent="0.25">
      <c r="A33" s="482"/>
      <c r="B33" s="482"/>
      <c r="C33" s="482"/>
      <c r="D33" s="482"/>
      <c r="E33" s="482"/>
    </row>
    <row r="34" spans="1:7" s="476" customFormat="1" ht="16.5" customHeight="1" x14ac:dyDescent="0.3">
      <c r="A34" s="484" t="s">
        <v>21</v>
      </c>
      <c r="B34" s="512" t="s">
        <v>132</v>
      </c>
      <c r="C34" s="513"/>
      <c r="D34" s="513"/>
      <c r="E34" s="513"/>
    </row>
    <row r="35" spans="1:7" ht="16.5" customHeight="1" x14ac:dyDescent="0.3">
      <c r="A35" s="484"/>
      <c r="B35" s="512" t="s">
        <v>133</v>
      </c>
      <c r="C35" s="513"/>
      <c r="D35" s="513"/>
      <c r="E35" s="513"/>
    </row>
    <row r="36" spans="1:7" ht="16.5" customHeight="1" x14ac:dyDescent="0.3">
      <c r="A36" s="484"/>
      <c r="B36" s="512" t="s">
        <v>134</v>
      </c>
      <c r="C36" s="513"/>
      <c r="D36" s="513"/>
      <c r="E36" s="513"/>
    </row>
    <row r="37" spans="1:7" ht="16.5" customHeight="1" x14ac:dyDescent="0.3">
      <c r="A37" s="484"/>
      <c r="B37" s="512" t="s">
        <v>142</v>
      </c>
      <c r="C37" s="513"/>
      <c r="D37" s="513"/>
      <c r="E37" s="513"/>
    </row>
    <row r="38" spans="1:7" ht="15.75" customHeight="1" x14ac:dyDescent="0.25">
      <c r="A38" s="482"/>
      <c r="B38" s="482" t="s">
        <v>143</v>
      </c>
      <c r="C38" s="482"/>
      <c r="D38" s="482"/>
      <c r="E38" s="482"/>
    </row>
    <row r="39" spans="1:7" ht="16.5" customHeight="1" x14ac:dyDescent="0.3">
      <c r="A39" s="479" t="s">
        <v>1</v>
      </c>
      <c r="B39" s="480" t="s">
        <v>22</v>
      </c>
    </row>
    <row r="40" spans="1:7" ht="16.5" customHeight="1" x14ac:dyDescent="0.3">
      <c r="A40" s="484" t="s">
        <v>4</v>
      </c>
      <c r="B40" s="481" t="s">
        <v>138</v>
      </c>
      <c r="C40" s="482"/>
      <c r="D40" s="482"/>
      <c r="E40" s="482"/>
    </row>
    <row r="41" spans="1:7" ht="16.5" customHeight="1" x14ac:dyDescent="0.3">
      <c r="A41" s="484" t="s">
        <v>6</v>
      </c>
      <c r="B41" s="485">
        <v>99.02</v>
      </c>
      <c r="C41" s="482"/>
      <c r="D41" s="482"/>
      <c r="E41" s="482"/>
    </row>
    <row r="42" spans="1:7" ht="16.5" customHeight="1" x14ac:dyDescent="0.3">
      <c r="A42" s="481" t="s">
        <v>8</v>
      </c>
      <c r="B42" s="485">
        <v>17.09</v>
      </c>
      <c r="C42" s="482"/>
      <c r="D42" s="482"/>
      <c r="E42" s="482"/>
    </row>
    <row r="43" spans="1:7" ht="16.5" customHeight="1" x14ac:dyDescent="0.3">
      <c r="A43" s="481" t="s">
        <v>10</v>
      </c>
      <c r="B43" s="486">
        <v>0.1709</v>
      </c>
      <c r="C43" s="482"/>
      <c r="D43" s="482"/>
      <c r="E43" s="482"/>
    </row>
    <row r="44" spans="1:7" ht="15.75" customHeight="1" thickBot="1" x14ac:dyDescent="0.3">
      <c r="A44" s="482"/>
      <c r="B44" s="482"/>
      <c r="C44" s="482"/>
      <c r="D44" s="482"/>
      <c r="E44" s="482"/>
    </row>
    <row r="45" spans="1:7" ht="16.5" customHeight="1" thickBot="1" x14ac:dyDescent="0.35">
      <c r="A45" s="487" t="s">
        <v>13</v>
      </c>
      <c r="B45" s="488" t="s">
        <v>14</v>
      </c>
      <c r="C45" s="487" t="s">
        <v>15</v>
      </c>
      <c r="D45" s="487" t="s">
        <v>16</v>
      </c>
      <c r="E45" s="488" t="s">
        <v>17</v>
      </c>
      <c r="F45" s="514" t="s">
        <v>140</v>
      </c>
      <c r="G45" s="544" t="s">
        <v>141</v>
      </c>
    </row>
    <row r="46" spans="1:7" ht="16.5" customHeight="1" x14ac:dyDescent="0.3">
      <c r="A46" s="490">
        <v>1</v>
      </c>
      <c r="B46" s="491">
        <v>41921995</v>
      </c>
      <c r="C46" s="491">
        <v>13123.1</v>
      </c>
      <c r="D46" s="492">
        <v>1</v>
      </c>
      <c r="E46" s="515">
        <v>11.7</v>
      </c>
      <c r="F46" s="518">
        <v>2.16</v>
      </c>
      <c r="G46" s="545">
        <v>19.8</v>
      </c>
    </row>
    <row r="47" spans="1:7" ht="16.5" customHeight="1" x14ac:dyDescent="0.3">
      <c r="A47" s="490">
        <v>2</v>
      </c>
      <c r="B47" s="491">
        <v>42093304</v>
      </c>
      <c r="C47" s="491">
        <v>13053</v>
      </c>
      <c r="D47" s="492">
        <v>1</v>
      </c>
      <c r="E47" s="517">
        <v>11.7</v>
      </c>
      <c r="F47" s="518">
        <v>2.16</v>
      </c>
      <c r="G47" s="545">
        <v>19.8</v>
      </c>
    </row>
    <row r="48" spans="1:7" ht="16.5" customHeight="1" x14ac:dyDescent="0.3">
      <c r="A48" s="490">
        <v>3</v>
      </c>
      <c r="B48" s="491">
        <v>41941728</v>
      </c>
      <c r="C48" s="491">
        <v>13088.9</v>
      </c>
      <c r="D48" s="492">
        <v>1</v>
      </c>
      <c r="E48" s="517">
        <v>11.7</v>
      </c>
      <c r="F48" s="518">
        <v>2.16</v>
      </c>
      <c r="G48" s="545">
        <v>19.8</v>
      </c>
    </row>
    <row r="49" spans="1:7" ht="16.5" customHeight="1" x14ac:dyDescent="0.3">
      <c r="A49" s="490">
        <v>4</v>
      </c>
      <c r="B49" s="491">
        <v>42009942</v>
      </c>
      <c r="C49" s="491">
        <v>13060</v>
      </c>
      <c r="D49" s="492">
        <v>1</v>
      </c>
      <c r="E49" s="517">
        <v>11.7</v>
      </c>
      <c r="F49" s="518">
        <v>2.16</v>
      </c>
      <c r="G49" s="545">
        <v>19.7</v>
      </c>
    </row>
    <row r="50" spans="1:7" ht="16.5" customHeight="1" x14ac:dyDescent="0.3">
      <c r="A50" s="490">
        <v>5</v>
      </c>
      <c r="B50" s="491">
        <v>41949704</v>
      </c>
      <c r="C50" s="491">
        <v>13006.9</v>
      </c>
      <c r="D50" s="492">
        <v>1</v>
      </c>
      <c r="E50" s="517">
        <v>11.7</v>
      </c>
      <c r="F50" s="518">
        <v>2.16</v>
      </c>
      <c r="G50" s="545">
        <v>19.7</v>
      </c>
    </row>
    <row r="51" spans="1:7" ht="16.5" customHeight="1" x14ac:dyDescent="0.3">
      <c r="A51" s="490">
        <v>6</v>
      </c>
      <c r="B51" s="495">
        <v>41975704</v>
      </c>
      <c r="C51" s="495">
        <v>12991.6</v>
      </c>
      <c r="D51" s="496">
        <v>1</v>
      </c>
      <c r="E51" s="519">
        <v>11.7</v>
      </c>
      <c r="F51" s="518">
        <v>2.16</v>
      </c>
      <c r="G51" s="545">
        <v>19.7</v>
      </c>
    </row>
    <row r="52" spans="1:7" ht="16.5" customHeight="1" x14ac:dyDescent="0.3">
      <c r="A52" s="497" t="s">
        <v>18</v>
      </c>
      <c r="B52" s="498">
        <v>41982062.833333336</v>
      </c>
      <c r="C52" s="499">
        <v>13053.916666666666</v>
      </c>
      <c r="D52" s="521">
        <v>1</v>
      </c>
      <c r="E52" s="500">
        <v>11.700000000000001</v>
      </c>
      <c r="F52" s="546">
        <v>2.16</v>
      </c>
      <c r="G52" s="547">
        <v>19.750000000000004</v>
      </c>
    </row>
    <row r="53" spans="1:7" ht="16.5" customHeight="1" x14ac:dyDescent="0.3">
      <c r="A53" s="503" t="s">
        <v>19</v>
      </c>
      <c r="B53" s="504"/>
      <c r="C53" s="505"/>
      <c r="D53" s="505"/>
      <c r="E53" s="539"/>
      <c r="F53" s="540"/>
      <c r="G53" s="548"/>
    </row>
    <row r="54" spans="1:7" s="476" customFormat="1" ht="16.5" customHeight="1" thickBot="1" x14ac:dyDescent="0.35">
      <c r="A54" s="507" t="s">
        <v>20</v>
      </c>
      <c r="B54" s="508"/>
      <c r="C54" s="509"/>
      <c r="D54" s="510"/>
      <c r="E54" s="510"/>
      <c r="F54" s="542"/>
      <c r="G54" s="549"/>
    </row>
    <row r="55" spans="1:7" s="476" customFormat="1" ht="15.75" customHeight="1" x14ac:dyDescent="0.25">
      <c r="A55" s="482"/>
      <c r="B55" s="482"/>
      <c r="C55" s="482"/>
      <c r="D55" s="482"/>
      <c r="E55" s="482"/>
    </row>
    <row r="56" spans="1:7" s="476" customFormat="1" ht="16.5" customHeight="1" x14ac:dyDescent="0.3">
      <c r="A56" s="484" t="s">
        <v>21</v>
      </c>
      <c r="B56" s="512" t="s">
        <v>132</v>
      </c>
      <c r="C56" s="513"/>
      <c r="D56" s="513"/>
      <c r="E56" s="513"/>
    </row>
    <row r="57" spans="1:7" ht="16.5" customHeight="1" x14ac:dyDescent="0.3">
      <c r="A57" s="484"/>
      <c r="B57" s="512" t="s">
        <v>133</v>
      </c>
      <c r="C57" s="513"/>
      <c r="D57" s="513"/>
      <c r="E57" s="513"/>
    </row>
    <row r="58" spans="1:7" ht="16.5" customHeight="1" x14ac:dyDescent="0.3">
      <c r="A58" s="484"/>
      <c r="B58" s="512" t="s">
        <v>134</v>
      </c>
      <c r="C58" s="513"/>
      <c r="D58" s="513"/>
      <c r="E58" s="513"/>
    </row>
    <row r="59" spans="1:7" ht="14.25" customHeight="1" thickBot="1" x14ac:dyDescent="0.3">
      <c r="A59" s="523"/>
      <c r="B59" s="524"/>
      <c r="D59" s="525"/>
      <c r="F59" s="526"/>
      <c r="G59" s="526"/>
    </row>
    <row r="60" spans="1:7" ht="15" customHeight="1" x14ac:dyDescent="0.3">
      <c r="B60" s="527" t="s">
        <v>23</v>
      </c>
      <c r="C60" s="527"/>
      <c r="E60" s="528" t="s">
        <v>24</v>
      </c>
      <c r="F60" s="529"/>
      <c r="G60" s="528" t="s">
        <v>25</v>
      </c>
    </row>
    <row r="61" spans="1:7" ht="15" customHeight="1" x14ac:dyDescent="0.3">
      <c r="A61" s="530" t="s">
        <v>26</v>
      </c>
      <c r="B61" s="531" t="s">
        <v>136</v>
      </c>
      <c r="C61" s="531"/>
      <c r="E61" s="531" t="s">
        <v>137</v>
      </c>
      <c r="G61" s="531"/>
    </row>
    <row r="62" spans="1:7" ht="15" customHeight="1" x14ac:dyDescent="0.3">
      <c r="A62" s="530" t="s">
        <v>27</v>
      </c>
      <c r="B62" s="532"/>
      <c r="C62" s="532"/>
      <c r="E62" s="532"/>
      <c r="G62" s="5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28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29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30</v>
      </c>
      <c r="B14" s="433"/>
      <c r="C14" s="12" t="s">
        <v>5</v>
      </c>
    </row>
    <row r="15" spans="1:7" ht="16.5" customHeight="1" x14ac:dyDescent="0.3">
      <c r="A15" s="433" t="s">
        <v>31</v>
      </c>
      <c r="B15" s="433"/>
      <c r="C15" s="12" t="s">
        <v>7</v>
      </c>
    </row>
    <row r="16" spans="1:7" ht="16.5" customHeight="1" x14ac:dyDescent="0.3">
      <c r="A16" s="433" t="s">
        <v>32</v>
      </c>
      <c r="B16" s="433"/>
      <c r="C16" s="12" t="s">
        <v>9</v>
      </c>
    </row>
    <row r="17" spans="1:5" ht="16.5" customHeight="1" x14ac:dyDescent="0.3">
      <c r="A17" s="433" t="s">
        <v>33</v>
      </c>
      <c r="B17" s="433"/>
      <c r="C17" s="12" t="s">
        <v>11</v>
      </c>
    </row>
    <row r="18" spans="1:5" ht="16.5" customHeight="1" x14ac:dyDescent="0.3">
      <c r="A18" s="433" t="s">
        <v>34</v>
      </c>
      <c r="B18" s="433"/>
      <c r="C18" s="49" t="s">
        <v>12</v>
      </c>
    </row>
    <row r="19" spans="1:5" ht="16.5" customHeight="1" x14ac:dyDescent="0.3">
      <c r="A19" s="433" t="s">
        <v>35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36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1037.6199999999999</v>
      </c>
      <c r="D24" s="39">
        <f t="shared" ref="D24:D43" si="0">(C24-$C$46)/$C$46</f>
        <v>-5.102872451200658E-3</v>
      </c>
      <c r="E24" s="5"/>
    </row>
    <row r="25" spans="1:5" ht="15.75" customHeight="1" x14ac:dyDescent="0.3">
      <c r="C25" s="47">
        <v>1041.0899999999999</v>
      </c>
      <c r="D25" s="40">
        <f t="shared" si="0"/>
        <v>-1.7757459187568332E-3</v>
      </c>
      <c r="E25" s="5"/>
    </row>
    <row r="26" spans="1:5" ht="15.75" customHeight="1" x14ac:dyDescent="0.3">
      <c r="C26" s="47">
        <v>1042.06</v>
      </c>
      <c r="D26" s="40">
        <f t="shared" si="0"/>
        <v>-8.4568461141660981E-4</v>
      </c>
      <c r="E26" s="5"/>
    </row>
    <row r="27" spans="1:5" ht="15.75" customHeight="1" x14ac:dyDescent="0.3">
      <c r="C27" s="47">
        <v>1045.42</v>
      </c>
      <c r="D27" s="40">
        <f t="shared" si="0"/>
        <v>2.375971051122752E-3</v>
      </c>
      <c r="E27" s="5"/>
    </row>
    <row r="28" spans="1:5" ht="15.75" customHeight="1" x14ac:dyDescent="0.3">
      <c r="C28" s="47">
        <v>1046.01</v>
      </c>
      <c r="D28" s="40">
        <f t="shared" si="0"/>
        <v>2.9416784442471236E-3</v>
      </c>
      <c r="E28" s="5"/>
    </row>
    <row r="29" spans="1:5" ht="15.75" customHeight="1" x14ac:dyDescent="0.3">
      <c r="C29" s="47">
        <v>1043.97</v>
      </c>
      <c r="D29" s="40">
        <f t="shared" si="0"/>
        <v>9.8567322056261988E-4</v>
      </c>
      <c r="E29" s="5"/>
    </row>
    <row r="30" spans="1:5" ht="15.75" customHeight="1" x14ac:dyDescent="0.3">
      <c r="C30" s="47">
        <v>1041.3399999999999</v>
      </c>
      <c r="D30" s="40">
        <f t="shared" si="0"/>
        <v>-1.536039396246473E-3</v>
      </c>
      <c r="E30" s="5"/>
    </row>
    <row r="31" spans="1:5" ht="15.75" customHeight="1" x14ac:dyDescent="0.3">
      <c r="C31" s="47">
        <v>1049.3</v>
      </c>
      <c r="D31" s="40">
        <f t="shared" si="0"/>
        <v>6.0962162804834279E-3</v>
      </c>
      <c r="E31" s="5"/>
    </row>
    <row r="32" spans="1:5" ht="15.75" customHeight="1" x14ac:dyDescent="0.3">
      <c r="C32" s="47">
        <v>1040.0999999999999</v>
      </c>
      <c r="D32" s="40">
        <f t="shared" si="0"/>
        <v>-2.724983747897868E-3</v>
      </c>
      <c r="E32" s="5"/>
    </row>
    <row r="33" spans="1:7" ht="15.75" customHeight="1" x14ac:dyDescent="0.3">
      <c r="C33" s="47">
        <v>1047.96</v>
      </c>
      <c r="D33" s="40">
        <f t="shared" si="0"/>
        <v>4.8113893198279759E-3</v>
      </c>
      <c r="E33" s="5"/>
    </row>
    <row r="34" spans="1:7" ht="15.75" customHeight="1" x14ac:dyDescent="0.3">
      <c r="C34" s="47">
        <v>1044.47</v>
      </c>
      <c r="D34" s="40">
        <f t="shared" si="0"/>
        <v>1.4650862655833403E-3</v>
      </c>
      <c r="E34" s="5"/>
    </row>
    <row r="35" spans="1:7" ht="15.75" customHeight="1" x14ac:dyDescent="0.3">
      <c r="C35" s="47">
        <v>1045.76</v>
      </c>
      <c r="D35" s="40">
        <f t="shared" si="0"/>
        <v>2.7019719217367634E-3</v>
      </c>
      <c r="E35" s="5"/>
    </row>
    <row r="36" spans="1:7" ht="15.75" customHeight="1" x14ac:dyDescent="0.3">
      <c r="C36" s="47">
        <v>1033.77</v>
      </c>
      <c r="D36" s="40">
        <f t="shared" si="0"/>
        <v>-8.7943528978601162E-3</v>
      </c>
      <c r="E36" s="5"/>
    </row>
    <row r="37" spans="1:7" ht="15.75" customHeight="1" x14ac:dyDescent="0.3">
      <c r="C37" s="47">
        <v>1040.47</v>
      </c>
      <c r="D37" s="40">
        <f t="shared" si="0"/>
        <v>-2.3702180945824216E-3</v>
      </c>
      <c r="E37" s="5"/>
    </row>
    <row r="38" spans="1:7" ht="15.75" customHeight="1" x14ac:dyDescent="0.3">
      <c r="C38" s="47">
        <v>1041.04</v>
      </c>
      <c r="D38" s="40">
        <f t="shared" si="0"/>
        <v>-1.8236872232588615E-3</v>
      </c>
      <c r="E38" s="5"/>
    </row>
    <row r="39" spans="1:7" ht="15.75" customHeight="1" x14ac:dyDescent="0.3">
      <c r="C39" s="47">
        <v>1038.6300000000001</v>
      </c>
      <c r="D39" s="40">
        <f t="shared" si="0"/>
        <v>-4.1344581002585937E-3</v>
      </c>
      <c r="E39" s="5"/>
    </row>
    <row r="40" spans="1:7" ht="15.75" customHeight="1" x14ac:dyDescent="0.3">
      <c r="C40" s="47">
        <v>1050.5</v>
      </c>
      <c r="D40" s="40">
        <f t="shared" si="0"/>
        <v>7.2468075885331997E-3</v>
      </c>
      <c r="E40" s="5"/>
    </row>
    <row r="41" spans="1:7" ht="15.75" customHeight="1" x14ac:dyDescent="0.3">
      <c r="C41" s="47">
        <v>1036.7</v>
      </c>
      <c r="D41" s="40">
        <f t="shared" si="0"/>
        <v>-5.9849924540386346E-3</v>
      </c>
      <c r="E41" s="5"/>
    </row>
    <row r="42" spans="1:7" ht="15.75" customHeight="1" x14ac:dyDescent="0.3">
      <c r="C42" s="47">
        <v>1044.51</v>
      </c>
      <c r="D42" s="40">
        <f t="shared" si="0"/>
        <v>1.5034393091849629E-3</v>
      </c>
      <c r="E42" s="5"/>
    </row>
    <row r="43" spans="1:7" ht="16.5" customHeight="1" x14ac:dyDescent="0.3">
      <c r="C43" s="48">
        <v>1048.1199999999999</v>
      </c>
      <c r="D43" s="41">
        <f t="shared" si="0"/>
        <v>4.9648014942344672E-3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20858.84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1042.942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26">
        <f>C46</f>
        <v>1042.942</v>
      </c>
      <c r="C49" s="45">
        <f>-IF(C46&lt;=80,10%,IF(C46&lt;250,7.5%,5%))</f>
        <v>-0.05</v>
      </c>
      <c r="D49" s="33">
        <f>IF(C46&lt;=80,C46*0.9,IF(C46&lt;250,C46*0.925,C46*0.95))</f>
        <v>990.79489999999998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1095.0891000000001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4" zoomScale="41" zoomScaleNormal="40" zoomScalePageLayoutView="41" workbookViewId="0">
      <selection activeCell="B37" sqref="B3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42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43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28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44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30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41" t="s">
        <v>9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138</v>
      </c>
      <c r="C26" s="436"/>
    </row>
    <row r="27" spans="1:14" ht="26.25" customHeight="1" x14ac:dyDescent="0.4">
      <c r="A27" s="61" t="s">
        <v>45</v>
      </c>
      <c r="B27" s="442" t="s">
        <v>144</v>
      </c>
      <c r="C27" s="442"/>
    </row>
    <row r="28" spans="1:14" ht="27" customHeight="1" x14ac:dyDescent="0.4">
      <c r="A28" s="61" t="s">
        <v>6</v>
      </c>
      <c r="B28" s="62">
        <v>99.02</v>
      </c>
    </row>
    <row r="29" spans="1:14" s="3" customFormat="1" ht="27" customHeight="1" x14ac:dyDescent="0.4">
      <c r="A29" s="61" t="s">
        <v>46</v>
      </c>
      <c r="B29" s="63">
        <v>0</v>
      </c>
      <c r="C29" s="443" t="s">
        <v>47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46" t="s">
        <v>50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46" t="s">
        <v>52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449" t="s">
        <v>56</v>
      </c>
      <c r="E36" s="450"/>
      <c r="F36" s="449" t="s">
        <v>57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41948719</v>
      </c>
      <c r="E38" s="85">
        <f>IF(ISBLANK(D38),"-",$D$48/$D$45*D38)</f>
        <v>39661916.979494423</v>
      </c>
      <c r="F38" s="84">
        <v>40123112</v>
      </c>
      <c r="G38" s="86">
        <f>IF(ISBLANK(F38),"-",$D$48/$F$45*F38)</f>
        <v>39995272.11210268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42096409</v>
      </c>
      <c r="E39" s="90">
        <f>IF(ISBLANK(D39),"-",$D$48/$D$45*D39)</f>
        <v>39801555.773201123</v>
      </c>
      <c r="F39" s="89">
        <v>39814884</v>
      </c>
      <c r="G39" s="91">
        <f>IF(ISBLANK(F39),"-",$D$48/$F$45*F39)</f>
        <v>39688026.18530196</v>
      </c>
      <c r="I39" s="453">
        <f>ABS((F43/D43*D42)-F42)/D42</f>
        <v>3.0466719390612497E-3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41804166</v>
      </c>
      <c r="E40" s="90">
        <f>IF(ISBLANK(D40),"-",$D$48/$D$45*D40)</f>
        <v>39525244.174655326</v>
      </c>
      <c r="F40" s="89">
        <v>39814475</v>
      </c>
      <c r="G40" s="91">
        <f>IF(ISBLANK(F40),"-",$D$48/$F$45*F40)</f>
        <v>39687618.488453969</v>
      </c>
      <c r="I40" s="453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41949764.666666664</v>
      </c>
      <c r="E42" s="100">
        <f>AVERAGE(E38:E41)</f>
        <v>39662905.642450295</v>
      </c>
      <c r="F42" s="99">
        <f>AVERAGE(F38:F41)</f>
        <v>39917490.333333336</v>
      </c>
      <c r="G42" s="101">
        <f>AVERAGE(G38:G41)</f>
        <v>39790305.595286205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17.09</v>
      </c>
      <c r="E43" s="92"/>
      <c r="F43" s="104">
        <v>16.21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17.09</v>
      </c>
      <c r="E44" s="107"/>
      <c r="F44" s="106">
        <f>F43*$B$34</f>
        <v>16.21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16.922518</v>
      </c>
      <c r="E45" s="110"/>
      <c r="F45" s="109">
        <f>F44*$B$30/100</f>
        <v>16.051141999999999</v>
      </c>
      <c r="H45" s="102"/>
    </row>
    <row r="46" spans="1:14" ht="19.5" customHeight="1" x14ac:dyDescent="0.3">
      <c r="A46" s="454" t="s">
        <v>75</v>
      </c>
      <c r="B46" s="455"/>
      <c r="C46" s="105" t="s">
        <v>76</v>
      </c>
      <c r="D46" s="111">
        <f>D45/$B$45</f>
        <v>0.16922518</v>
      </c>
      <c r="E46" s="112"/>
      <c r="F46" s="113">
        <f>F45/$B$45</f>
        <v>0.16051141999999999</v>
      </c>
      <c r="H46" s="102"/>
    </row>
    <row r="47" spans="1:14" ht="27" customHeight="1" x14ac:dyDescent="0.4">
      <c r="A47" s="456"/>
      <c r="B47" s="457"/>
      <c r="C47" s="114" t="s">
        <v>77</v>
      </c>
      <c r="D47" s="115">
        <v>0.16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39726605.618868254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3.9886160473408374E-3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contains: Sulphamethoxazole BP 800 mg and Trimethoprim BP 160 mg.</v>
      </c>
    </row>
    <row r="56" spans="1:12" ht="26.25" customHeight="1" x14ac:dyDescent="0.4">
      <c r="A56" s="129" t="s">
        <v>84</v>
      </c>
      <c r="B56" s="130">
        <v>800</v>
      </c>
      <c r="C56" s="51" t="str">
        <f>B20</f>
        <v>each tablets contains sulphamethoxazole 800mg Trimethoprim 160mg.</v>
      </c>
      <c r="H56" s="131"/>
    </row>
    <row r="57" spans="1:12" ht="18.75" x14ac:dyDescent="0.3">
      <c r="A57" s="128" t="s">
        <v>85</v>
      </c>
      <c r="B57" s="199">
        <f>Uniformity!C46</f>
        <v>1042.942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2</v>
      </c>
      <c r="C60" s="458" t="s">
        <v>91</v>
      </c>
      <c r="D60" s="461">
        <v>1042.8800000000001</v>
      </c>
      <c r="E60" s="134">
        <v>1</v>
      </c>
      <c r="F60" s="135">
        <v>38431706</v>
      </c>
      <c r="G60" s="200">
        <f>IF(ISBLANK(F60),"-",(F60/$D$50*$D$47*$B$68)*($B$57/$D$60))</f>
        <v>773.96979067466975</v>
      </c>
      <c r="H60" s="218">
        <f t="shared" ref="H60:H71" si="0">IF(ISBLANK(F60),"-",(G60/$B$56)*100)</f>
        <v>96.746223834333719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459"/>
      <c r="D61" s="462"/>
      <c r="E61" s="136">
        <v>2</v>
      </c>
      <c r="F61" s="89">
        <v>38486696</v>
      </c>
      <c r="G61" s="201">
        <f>IF(ISBLANK(F61),"-",(F61/$D$50*$D$47*$B$68)*($B$57/$D$60))</f>
        <v>775.0772252181481</v>
      </c>
      <c r="H61" s="219">
        <f t="shared" si="0"/>
        <v>96.884653152268513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59"/>
      <c r="D62" s="462"/>
      <c r="E62" s="136">
        <v>3</v>
      </c>
      <c r="F62" s="137">
        <v>38120686</v>
      </c>
      <c r="G62" s="201">
        <f>IF(ISBLANK(F62),"-",(F62/$D$50*$D$47*$B$68)*($B$57/$D$60))</f>
        <v>767.70621017434962</v>
      </c>
      <c r="H62" s="219">
        <f t="shared" si="0"/>
        <v>95.963276271793703</v>
      </c>
      <c r="L62" s="64"/>
    </row>
    <row r="63" spans="1:12" ht="27" customHeight="1" x14ac:dyDescent="0.4">
      <c r="A63" s="76" t="s">
        <v>94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58" t="s">
        <v>96</v>
      </c>
      <c r="D64" s="461">
        <v>1033.49</v>
      </c>
      <c r="E64" s="134">
        <v>1</v>
      </c>
      <c r="F64" s="135">
        <v>38963871</v>
      </c>
      <c r="G64" s="200">
        <f>IF(ISBLANK(F64),"-",(F64/$D$50*$D$47*$B$68)*($B$57/$D$64))</f>
        <v>791.81641942157887</v>
      </c>
      <c r="H64" s="218">
        <f t="shared" si="0"/>
        <v>98.977052427697359</v>
      </c>
    </row>
    <row r="65" spans="1:8" ht="26.25" customHeight="1" x14ac:dyDescent="0.4">
      <c r="A65" s="76" t="s">
        <v>97</v>
      </c>
      <c r="B65" s="77">
        <v>1</v>
      </c>
      <c r="C65" s="459"/>
      <c r="D65" s="462"/>
      <c r="E65" s="136">
        <v>2</v>
      </c>
      <c r="F65" s="89">
        <v>38704112</v>
      </c>
      <c r="G65" s="201">
        <f>IF(ISBLANK(F65),"-",(F65/$D$50*$D$47*$B$68)*($B$57/$D$64))</f>
        <v>786.53764613715509</v>
      </c>
      <c r="H65" s="219">
        <f t="shared" si="0"/>
        <v>98.317205767144387</v>
      </c>
    </row>
    <row r="66" spans="1:8" ht="26.25" customHeight="1" x14ac:dyDescent="0.4">
      <c r="A66" s="76" t="s">
        <v>98</v>
      </c>
      <c r="B66" s="77">
        <v>1</v>
      </c>
      <c r="C66" s="459"/>
      <c r="D66" s="462"/>
      <c r="E66" s="136">
        <v>3</v>
      </c>
      <c r="F66" s="89">
        <v>38709443</v>
      </c>
      <c r="G66" s="201">
        <f>IF(ISBLANK(F66),"-",(F66/$D$50*$D$47*$B$68)*($B$57/$D$64))</f>
        <v>786.6459817112036</v>
      </c>
      <c r="H66" s="219">
        <f t="shared" si="0"/>
        <v>98.33074771390045</v>
      </c>
    </row>
    <row r="67" spans="1:8" ht="27" customHeight="1" x14ac:dyDescent="0.4">
      <c r="A67" s="76" t="s">
        <v>99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5000</v>
      </c>
      <c r="C68" s="458" t="s">
        <v>101</v>
      </c>
      <c r="D68" s="461">
        <v>1051.18</v>
      </c>
      <c r="E68" s="134">
        <v>1</v>
      </c>
      <c r="F68" s="135">
        <v>39353813</v>
      </c>
      <c r="G68" s="200">
        <f>IF(ISBLANK(F68),"-",(F68/$D$50*$D$47*$B$68)*($B$57/$D$68))</f>
        <v>786.28214448092388</v>
      </c>
      <c r="H68" s="219">
        <f t="shared" si="0"/>
        <v>98.285268060115484</v>
      </c>
    </row>
    <row r="69" spans="1:8" ht="27" customHeight="1" x14ac:dyDescent="0.4">
      <c r="A69" s="124" t="s">
        <v>102</v>
      </c>
      <c r="B69" s="141">
        <f>(D47*B68)/B56*B57</f>
        <v>1042.942</v>
      </c>
      <c r="C69" s="459"/>
      <c r="D69" s="462"/>
      <c r="E69" s="136">
        <v>2</v>
      </c>
      <c r="F69" s="89">
        <v>39602666</v>
      </c>
      <c r="G69" s="201">
        <f>IF(ISBLANK(F69),"-",(F69/$D$50*$D$47*$B$68)*($B$57/$D$68))</f>
        <v>791.25418290831874</v>
      </c>
      <c r="H69" s="219">
        <f t="shared" si="0"/>
        <v>98.906772863539842</v>
      </c>
    </row>
    <row r="70" spans="1:8" ht="26.25" customHeight="1" x14ac:dyDescent="0.4">
      <c r="A70" s="471" t="s">
        <v>75</v>
      </c>
      <c r="B70" s="472"/>
      <c r="C70" s="459"/>
      <c r="D70" s="462"/>
      <c r="E70" s="136">
        <v>3</v>
      </c>
      <c r="F70" s="89">
        <v>40166818</v>
      </c>
      <c r="G70" s="201">
        <f>IF(ISBLANK(F70),"-",(F70/$D$50*$D$47*$B$68)*($B$57/$D$68))</f>
        <v>802.52583895784062</v>
      </c>
      <c r="H70" s="219">
        <f t="shared" si="0"/>
        <v>100.31572986973008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784.64615996490966</v>
      </c>
      <c r="H72" s="221">
        <f>AVERAGE(H60:H71)</f>
        <v>98.080769995613707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1.3648672027077721E-2</v>
      </c>
      <c r="H73" s="205">
        <f>STDEV(H60:H71)/H72</f>
        <v>1.3648672027077721E-2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466" t="str">
        <f>B26</f>
        <v>Sulfamethoxazole</v>
      </c>
      <c r="D76" s="466"/>
      <c r="E76" s="150" t="s">
        <v>105</v>
      </c>
      <c r="F76" s="150"/>
      <c r="G76" s="237">
        <f>H72</f>
        <v>98.080769995613707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>Sulfamethoxazole</v>
      </c>
      <c r="C79" s="452"/>
    </row>
    <row r="80" spans="1:8" ht="26.25" customHeight="1" x14ac:dyDescent="0.4">
      <c r="A80" s="61" t="s">
        <v>45</v>
      </c>
      <c r="B80" s="452" t="str">
        <f>B27</f>
        <v>s12-6</v>
      </c>
      <c r="C80" s="452"/>
    </row>
    <row r="81" spans="1:12" ht="27" customHeight="1" x14ac:dyDescent="0.4">
      <c r="A81" s="61" t="s">
        <v>6</v>
      </c>
      <c r="B81" s="153">
        <f>B28</f>
        <v>99.02</v>
      </c>
    </row>
    <row r="82" spans="1:12" s="3" customFormat="1" ht="27" customHeight="1" x14ac:dyDescent="0.4">
      <c r="A82" s="61" t="s">
        <v>46</v>
      </c>
      <c r="B82" s="63">
        <v>0</v>
      </c>
      <c r="C82" s="443" t="s">
        <v>47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46" t="s">
        <v>108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46" t="s">
        <v>109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100</v>
      </c>
      <c r="D89" s="154" t="s">
        <v>56</v>
      </c>
      <c r="E89" s="155"/>
      <c r="F89" s="449" t="s">
        <v>57</v>
      </c>
      <c r="G89" s="451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41948719</v>
      </c>
      <c r="E91" s="85">
        <f>IF(ISBLANK(D91),"-",$D$101/$D$98*D91)</f>
        <v>44068796.643882692</v>
      </c>
      <c r="F91" s="84">
        <v>40123112</v>
      </c>
      <c r="G91" s="86">
        <f>IF(ISBLANK(F91),"-",$D$101/$F$98*F91)</f>
        <v>44439191.23566965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42096409</v>
      </c>
      <c r="E92" s="90">
        <f>IF(ISBLANK(D92),"-",$D$101/$D$98*D92)</f>
        <v>44223950.85911236</v>
      </c>
      <c r="F92" s="89">
        <v>39814884</v>
      </c>
      <c r="G92" s="91">
        <f>IF(ISBLANK(F92),"-",$D$101/$F$98*F92)</f>
        <v>44097806.872557737</v>
      </c>
      <c r="I92" s="453">
        <f>ABS((F96/D96*D95)-F95)/D95</f>
        <v>3.0466719390612497E-3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41804166</v>
      </c>
      <c r="E93" s="90">
        <f>IF(ISBLANK(D93),"-",$D$101/$D$98*D93)</f>
        <v>43916937.971839257</v>
      </c>
      <c r="F93" s="89">
        <v>39814475</v>
      </c>
      <c r="G93" s="91">
        <f>IF(ISBLANK(F93),"-",$D$101/$F$98*F93)</f>
        <v>44097353.876059972</v>
      </c>
      <c r="I93" s="453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41949764.666666664</v>
      </c>
      <c r="E95" s="100">
        <f>AVERAGE(E91:E94)</f>
        <v>44069895.1582781</v>
      </c>
      <c r="F95" s="163">
        <f>AVERAGE(F91:F94)</f>
        <v>39917490.333333336</v>
      </c>
      <c r="G95" s="164">
        <f>AVERAGE(G91:G94)</f>
        <v>44211450.661429115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17.09</v>
      </c>
      <c r="E96" s="92"/>
      <c r="F96" s="104">
        <v>16.21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17.09</v>
      </c>
      <c r="E97" s="107"/>
      <c r="F97" s="106">
        <f>F96*$B$87</f>
        <v>16.21</v>
      </c>
    </row>
    <row r="98" spans="1:10" ht="19.5" customHeight="1" x14ac:dyDescent="0.3">
      <c r="A98" s="76" t="s">
        <v>73</v>
      </c>
      <c r="B98" s="169">
        <f>(B97/B96)*(B95/B94)*(B93/B92)*(B91/B90)*B89</f>
        <v>100</v>
      </c>
      <c r="C98" s="167" t="s">
        <v>112</v>
      </c>
      <c r="D98" s="170">
        <f>D97*$B$83/100</f>
        <v>16.922518</v>
      </c>
      <c r="E98" s="110"/>
      <c r="F98" s="109">
        <f>F97*$B$83/100</f>
        <v>16.051141999999999</v>
      </c>
    </row>
    <row r="99" spans="1:10" ht="19.5" customHeight="1" x14ac:dyDescent="0.3">
      <c r="A99" s="454" t="s">
        <v>75</v>
      </c>
      <c r="B99" s="468"/>
      <c r="C99" s="167" t="s">
        <v>113</v>
      </c>
      <c r="D99" s="171">
        <f>D98/$B$98</f>
        <v>0.16922518</v>
      </c>
      <c r="E99" s="110"/>
      <c r="F99" s="113">
        <f>F98/$B$98</f>
        <v>0.16051141999999999</v>
      </c>
      <c r="G99" s="172"/>
      <c r="H99" s="102"/>
    </row>
    <row r="100" spans="1:10" ht="19.5" customHeight="1" x14ac:dyDescent="0.3">
      <c r="A100" s="456"/>
      <c r="B100" s="469"/>
      <c r="C100" s="167" t="s">
        <v>77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44140672.909853607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3.9886160473408408E-3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10</v>
      </c>
      <c r="C108" s="227">
        <v>1</v>
      </c>
      <c r="D108" s="228">
        <v>38293090</v>
      </c>
      <c r="E108" s="202">
        <f t="shared" ref="E108:E113" si="1">IF(ISBLANK(D108),"-",D108/$D$103*$D$100*$B$116)</f>
        <v>694.0191433547767</v>
      </c>
      <c r="F108" s="229">
        <f t="shared" ref="F108:F113" si="2">IF(ISBLANK(D108), "-", (E108/$B$56)*100)</f>
        <v>86.752392919347088</v>
      </c>
    </row>
    <row r="109" spans="1:10" ht="26.25" customHeight="1" x14ac:dyDescent="0.4">
      <c r="A109" s="76" t="s">
        <v>92</v>
      </c>
      <c r="B109" s="77">
        <v>50</v>
      </c>
      <c r="C109" s="223">
        <v>2</v>
      </c>
      <c r="D109" s="225">
        <v>38364881</v>
      </c>
      <c r="E109" s="203">
        <f t="shared" si="1"/>
        <v>695.32027440271736</v>
      </c>
      <c r="F109" s="230">
        <f t="shared" si="2"/>
        <v>86.91503430033967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38388654</v>
      </c>
      <c r="E110" s="203">
        <f t="shared" si="1"/>
        <v>695.7511332625005</v>
      </c>
      <c r="F110" s="230">
        <f t="shared" si="2"/>
        <v>86.968891657812563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38057529</v>
      </c>
      <c r="E111" s="203">
        <f t="shared" si="1"/>
        <v>689.74986543994157</v>
      </c>
      <c r="F111" s="230">
        <f t="shared" si="2"/>
        <v>86.218733179992697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37968948</v>
      </c>
      <c r="E112" s="203">
        <f t="shared" si="1"/>
        <v>688.1444345452943</v>
      </c>
      <c r="F112" s="230">
        <f t="shared" si="2"/>
        <v>86.018054318161788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38420736</v>
      </c>
      <c r="E113" s="204">
        <f t="shared" si="1"/>
        <v>696.3325833924614</v>
      </c>
      <c r="F113" s="231">
        <f t="shared" si="2"/>
        <v>87.041572924057675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693.21957239961523</v>
      </c>
      <c r="F115" s="233">
        <f>AVERAGE(F108:F113)</f>
        <v>86.652446549951904</v>
      </c>
    </row>
    <row r="116" spans="1:10" ht="27" customHeight="1" x14ac:dyDescent="0.4">
      <c r="A116" s="76" t="s">
        <v>100</v>
      </c>
      <c r="B116" s="108">
        <f>(B115/B114)*(B113/B112)*(B111/B110)*(B109/B108)*B107</f>
        <v>4500</v>
      </c>
      <c r="C116" s="186"/>
      <c r="D116" s="210" t="s">
        <v>81</v>
      </c>
      <c r="E116" s="208">
        <f>STDEV(E108:E113)/E115</f>
        <v>4.9531097326471745E-3</v>
      </c>
      <c r="F116" s="187">
        <f>STDEV(F108:F113)/F115</f>
        <v>4.9531097326471745E-3</v>
      </c>
      <c r="I116" s="50"/>
    </row>
    <row r="117" spans="1:10" ht="27" customHeight="1" x14ac:dyDescent="0.4">
      <c r="A117" s="454" t="s">
        <v>75</v>
      </c>
      <c r="B117" s="45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120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688.1444345452943</v>
      </c>
      <c r="F119" s="234">
        <f>MIN(F108:F113)</f>
        <v>86.018054318161788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696.3325833924614</v>
      </c>
      <c r="F120" s="235">
        <f>MAX(F108:F113)</f>
        <v>87.041572924057675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466" t="str">
        <f>B26</f>
        <v>Sulfamethoxazole</v>
      </c>
      <c r="D124" s="466"/>
      <c r="E124" s="150" t="s">
        <v>124</v>
      </c>
      <c r="F124" s="150"/>
      <c r="G124" s="236">
        <f>F115</f>
        <v>86.652446549951904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86.018054318161788</v>
      </c>
      <c r="E125" s="161" t="s">
        <v>127</v>
      </c>
      <c r="F125" s="236">
        <f>MAX(F108:F113)</f>
        <v>87.041572924057675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23</v>
      </c>
      <c r="C127" s="467"/>
      <c r="E127" s="156" t="s">
        <v>24</v>
      </c>
      <c r="F127" s="191"/>
      <c r="G127" s="467" t="s">
        <v>25</v>
      </c>
      <c r="H127" s="467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5" zoomScale="44" zoomScaleNormal="40" zoomScalePageLayoutView="44" workbookViewId="0">
      <selection activeCell="B37" sqref="B3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42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43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28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44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30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441" t="s">
        <v>9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34</v>
      </c>
      <c r="B22" s="245" t="s">
        <v>12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129</v>
      </c>
      <c r="C26" s="436"/>
    </row>
    <row r="27" spans="1:14" ht="26.25" customHeight="1" x14ac:dyDescent="0.4">
      <c r="A27" s="249" t="s">
        <v>45</v>
      </c>
      <c r="B27" s="442" t="s">
        <v>145</v>
      </c>
      <c r="C27" s="442"/>
    </row>
    <row r="28" spans="1:14" ht="27" customHeight="1" x14ac:dyDescent="0.4">
      <c r="A28" s="249" t="s">
        <v>6</v>
      </c>
      <c r="B28" s="250">
        <v>99.75</v>
      </c>
    </row>
    <row r="29" spans="1:14" s="3" customFormat="1" ht="27" customHeight="1" x14ac:dyDescent="0.4">
      <c r="A29" s="249" t="s">
        <v>46</v>
      </c>
      <c r="B29" s="251">
        <v>0</v>
      </c>
      <c r="C29" s="443" t="s">
        <v>47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48</v>
      </c>
      <c r="B30" s="253">
        <f>B28-B29</f>
        <v>99.75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49</v>
      </c>
      <c r="B31" s="256">
        <v>1</v>
      </c>
      <c r="C31" s="446" t="s">
        <v>50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51</v>
      </c>
      <c r="B32" s="256">
        <v>1</v>
      </c>
      <c r="C32" s="446" t="s">
        <v>52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55</v>
      </c>
      <c r="B36" s="263">
        <v>25</v>
      </c>
      <c r="C36" s="239"/>
      <c r="D36" s="449" t="s">
        <v>56</v>
      </c>
      <c r="E36" s="450"/>
      <c r="F36" s="449" t="s">
        <v>57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58</v>
      </c>
      <c r="B37" s="265">
        <v>4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63</v>
      </c>
      <c r="B38" s="265">
        <v>100</v>
      </c>
      <c r="C38" s="271">
        <v>1</v>
      </c>
      <c r="D38" s="272">
        <v>3504209</v>
      </c>
      <c r="E38" s="273">
        <f>IF(ISBLANK(D38),"-",$D$48/$D$45*D38)</f>
        <v>2805903.7369782282</v>
      </c>
      <c r="F38" s="272">
        <v>3377888</v>
      </c>
      <c r="G38" s="274">
        <f>IF(ISBLANK(F38),"-",$D$48/$F$45*F38)</f>
        <v>2816094.706621022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64</v>
      </c>
      <c r="B39" s="265">
        <v>1</v>
      </c>
      <c r="C39" s="276">
        <v>2</v>
      </c>
      <c r="D39" s="277">
        <v>3519259</v>
      </c>
      <c r="E39" s="278">
        <f>IF(ISBLANK(D39),"-",$D$48/$D$45*D39)</f>
        <v>2817954.6309864116</v>
      </c>
      <c r="F39" s="277">
        <v>3353765</v>
      </c>
      <c r="G39" s="279">
        <f>IF(ISBLANK(F39),"-",$D$48/$F$45*F39)</f>
        <v>2795983.7222995115</v>
      </c>
      <c r="I39" s="453">
        <f>ABS((F43/D43*D42)-F42)/D42</f>
        <v>1.9695777794054891E-3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3496641</v>
      </c>
      <c r="E40" s="278">
        <f>IF(ISBLANK(D40),"-",$D$48/$D$45*D40)</f>
        <v>2799843.858848399</v>
      </c>
      <c r="F40" s="277">
        <v>3351805</v>
      </c>
      <c r="G40" s="279">
        <f>IF(ISBLANK(F40),"-",$D$48/$F$45*F40)</f>
        <v>2794349.6996128573</v>
      </c>
      <c r="I40" s="453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3506703</v>
      </c>
      <c r="E42" s="288">
        <f>AVERAGE(E38:E41)</f>
        <v>2807900.7422710131</v>
      </c>
      <c r="F42" s="287">
        <f>AVERAGE(F38:F41)</f>
        <v>3361152.6666666665</v>
      </c>
      <c r="G42" s="289">
        <f>AVERAGE(G38:G41)</f>
        <v>2802142.7095111306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25.04</v>
      </c>
      <c r="E43" s="280"/>
      <c r="F43" s="292">
        <v>24.05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25.04</v>
      </c>
      <c r="E44" s="295"/>
      <c r="F44" s="294">
        <f>F43*$B$34</f>
        <v>24.05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625</v>
      </c>
      <c r="C45" s="293" t="s">
        <v>74</v>
      </c>
      <c r="D45" s="297">
        <f>D44*$B$30/100</f>
        <v>24.977399999999999</v>
      </c>
      <c r="E45" s="298"/>
      <c r="F45" s="297">
        <f>F44*$B$30/100</f>
        <v>23.989875000000001</v>
      </c>
      <c r="H45" s="290"/>
    </row>
    <row r="46" spans="1:14" ht="19.5" customHeight="1" x14ac:dyDescent="0.3">
      <c r="A46" s="454" t="s">
        <v>75</v>
      </c>
      <c r="B46" s="455"/>
      <c r="C46" s="293" t="s">
        <v>76</v>
      </c>
      <c r="D46" s="299">
        <f>D45/$B$45</f>
        <v>3.996384E-2</v>
      </c>
      <c r="E46" s="300"/>
      <c r="F46" s="301">
        <f>F45/$B$45</f>
        <v>3.8383800000000003E-2</v>
      </c>
      <c r="H46" s="290"/>
    </row>
    <row r="47" spans="1:14" ht="27" customHeight="1" x14ac:dyDescent="0.4">
      <c r="A47" s="456"/>
      <c r="B47" s="457"/>
      <c r="C47" s="302" t="s">
        <v>77</v>
      </c>
      <c r="D47" s="303">
        <v>3.2000000000000001E-2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20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2805021.7258910718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3.6112124982808566E-3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tablet contains: Sulphamethoxazole BP 800 mg and Trimethoprim BP 160 mg.</v>
      </c>
    </row>
    <row r="56" spans="1:12" ht="26.25" customHeight="1" x14ac:dyDescent="0.4">
      <c r="A56" s="317" t="s">
        <v>84</v>
      </c>
      <c r="B56" s="318">
        <v>160</v>
      </c>
      <c r="C56" s="239" t="str">
        <f>B20</f>
        <v>each tablets contains sulphamethoxazole 800mg Trimethoprim 160mg.</v>
      </c>
      <c r="H56" s="319"/>
    </row>
    <row r="57" spans="1:12" ht="18.75" x14ac:dyDescent="0.3">
      <c r="A57" s="316" t="s">
        <v>85</v>
      </c>
      <c r="B57" s="387">
        <f>Uniformity!C46</f>
        <v>1042.942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86</v>
      </c>
      <c r="B59" s="263">
        <v>100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3" customFormat="1" ht="26.25" customHeight="1" x14ac:dyDescent="0.4">
      <c r="A60" s="264" t="s">
        <v>90</v>
      </c>
      <c r="B60" s="265">
        <v>2</v>
      </c>
      <c r="C60" s="458" t="s">
        <v>91</v>
      </c>
      <c r="D60" s="461">
        <f>Sulfamethoxazole!D60</f>
        <v>1042.8800000000001</v>
      </c>
      <c r="E60" s="322">
        <v>1</v>
      </c>
      <c r="F60" s="323">
        <v>2753865</v>
      </c>
      <c r="G60" s="388">
        <f>IF(ISBLANK(F60),"-",(F60/$D$50*$D$47*$B$68)*($B$57/$D$60))</f>
        <v>157.0913305333282</v>
      </c>
      <c r="H60" s="406">
        <f t="shared" ref="H60:H71" si="0">IF(ISBLANK(F60),"-",(G60/$B$56)*100)</f>
        <v>98.182081583330131</v>
      </c>
      <c r="L60" s="252"/>
    </row>
    <row r="61" spans="1:12" s="3" customFormat="1" ht="26.25" customHeight="1" x14ac:dyDescent="0.4">
      <c r="A61" s="264" t="s">
        <v>92</v>
      </c>
      <c r="B61" s="265">
        <v>100</v>
      </c>
      <c r="C61" s="459"/>
      <c r="D61" s="462"/>
      <c r="E61" s="324">
        <v>2</v>
      </c>
      <c r="F61" s="277">
        <v>2760069</v>
      </c>
      <c r="G61" s="389">
        <f>IF(ISBLANK(F61),"-",(F61/$D$50*$D$47*$B$68)*($B$57/$D$60))</f>
        <v>157.44523118373363</v>
      </c>
      <c r="H61" s="407">
        <f t="shared" si="0"/>
        <v>98.403269489833505</v>
      </c>
      <c r="L61" s="252"/>
    </row>
    <row r="62" spans="1:12" s="3" customFormat="1" ht="26.25" customHeight="1" x14ac:dyDescent="0.4">
      <c r="A62" s="264" t="s">
        <v>93</v>
      </c>
      <c r="B62" s="265">
        <v>1</v>
      </c>
      <c r="C62" s="459"/>
      <c r="D62" s="462"/>
      <c r="E62" s="324">
        <v>3</v>
      </c>
      <c r="F62" s="325">
        <v>2732302</v>
      </c>
      <c r="G62" s="389">
        <f>IF(ISBLANK(F62),"-",(F62/$D$50*$D$47*$B$68)*($B$57/$D$60))</f>
        <v>155.8612918929845</v>
      </c>
      <c r="H62" s="407">
        <f t="shared" si="0"/>
        <v>97.413307433115321</v>
      </c>
      <c r="L62" s="252"/>
    </row>
    <row r="63" spans="1:12" ht="27" customHeight="1" x14ac:dyDescent="0.4">
      <c r="A63" s="264" t="s">
        <v>94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458" t="s">
        <v>96</v>
      </c>
      <c r="D64" s="461">
        <f>Sulfamethoxazole!D64</f>
        <v>1033.49</v>
      </c>
      <c r="E64" s="322">
        <v>1</v>
      </c>
      <c r="F64" s="323">
        <v>2784266</v>
      </c>
      <c r="G64" s="388">
        <f>IF(ISBLANK(F64),"-",(F64/$D$50*$D$47*$B$68)*($B$57/$D$64))</f>
        <v>160.26856770073323</v>
      </c>
      <c r="H64" s="406">
        <f t="shared" si="0"/>
        <v>100.16785481295827</v>
      </c>
    </row>
    <row r="65" spans="1:8" ht="26.25" customHeight="1" x14ac:dyDescent="0.4">
      <c r="A65" s="264" t="s">
        <v>97</v>
      </c>
      <c r="B65" s="265">
        <v>1</v>
      </c>
      <c r="C65" s="459"/>
      <c r="D65" s="462"/>
      <c r="E65" s="324">
        <v>2</v>
      </c>
      <c r="F65" s="277">
        <v>2766479</v>
      </c>
      <c r="G65" s="389">
        <f>IF(ISBLANK(F65),"-",(F65/$D$50*$D$47*$B$68)*($B$57/$D$64))</f>
        <v>159.24470826571769</v>
      </c>
      <c r="H65" s="407">
        <f t="shared" si="0"/>
        <v>99.527942666073557</v>
      </c>
    </row>
    <row r="66" spans="1:8" ht="26.25" customHeight="1" x14ac:dyDescent="0.4">
      <c r="A66" s="264" t="s">
        <v>98</v>
      </c>
      <c r="B66" s="265">
        <v>1</v>
      </c>
      <c r="C66" s="459"/>
      <c r="D66" s="462"/>
      <c r="E66" s="324">
        <v>3</v>
      </c>
      <c r="F66" s="277">
        <v>2767270</v>
      </c>
      <c r="G66" s="389">
        <f>IF(ISBLANK(F66),"-",(F66/$D$50*$D$47*$B$68)*($B$57/$D$64))</f>
        <v>159.29023999187146</v>
      </c>
      <c r="H66" s="407">
        <f t="shared" si="0"/>
        <v>99.556399994919659</v>
      </c>
    </row>
    <row r="67" spans="1:8" ht="27" customHeight="1" x14ac:dyDescent="0.4">
      <c r="A67" s="264" t="s">
        <v>99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5000</v>
      </c>
      <c r="C68" s="458" t="s">
        <v>101</v>
      </c>
      <c r="D68" s="461">
        <f>Sulfamethoxazole!D68</f>
        <v>1051.18</v>
      </c>
      <c r="E68" s="322">
        <v>1</v>
      </c>
      <c r="F68" s="323">
        <v>2819689</v>
      </c>
      <c r="G68" s="388">
        <f>IF(ISBLANK(F68),"-",(F68/$D$50*$D$47*$B$68)*($B$57/$D$68))</f>
        <v>159.57616775359966</v>
      </c>
      <c r="H68" s="407">
        <f t="shared" si="0"/>
        <v>99.735104845999786</v>
      </c>
    </row>
    <row r="69" spans="1:8" ht="27" customHeight="1" x14ac:dyDescent="0.4">
      <c r="A69" s="312" t="s">
        <v>102</v>
      </c>
      <c r="B69" s="329">
        <f>(D47*B68)/B56*B57</f>
        <v>1042.942</v>
      </c>
      <c r="C69" s="459"/>
      <c r="D69" s="462"/>
      <c r="E69" s="324">
        <v>2</v>
      </c>
      <c r="F69" s="277">
        <v>2837095</v>
      </c>
      <c r="G69" s="389">
        <f>IF(ISBLANK(F69),"-",(F69/$D$50*$D$47*$B$68)*($B$57/$D$68))</f>
        <v>160.56123482160584</v>
      </c>
      <c r="H69" s="407">
        <f t="shared" si="0"/>
        <v>100.35077176350364</v>
      </c>
    </row>
    <row r="70" spans="1:8" ht="26.25" customHeight="1" x14ac:dyDescent="0.4">
      <c r="A70" s="471" t="s">
        <v>75</v>
      </c>
      <c r="B70" s="472"/>
      <c r="C70" s="459"/>
      <c r="D70" s="462"/>
      <c r="E70" s="324">
        <v>3</v>
      </c>
      <c r="F70" s="277">
        <v>2872234</v>
      </c>
      <c r="G70" s="389">
        <f>IF(ISBLANK(F70),"-",(F70/$D$50*$D$47*$B$68)*($B$57/$D$68))</f>
        <v>162.54987504352169</v>
      </c>
      <c r="H70" s="407">
        <f t="shared" si="0"/>
        <v>101.59367190220105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159.098738576344</v>
      </c>
      <c r="H72" s="409">
        <f>AVERAGE(H60:H71)</f>
        <v>99.436711610214999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1.2755751189356675E-2</v>
      </c>
      <c r="H73" s="393">
        <f>STDEV(H60:H71)/H72</f>
        <v>1.2755751189356642E-2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103</v>
      </c>
      <c r="B76" s="337" t="s">
        <v>104</v>
      </c>
      <c r="C76" s="466" t="str">
        <f>B26</f>
        <v>Trimethoprim</v>
      </c>
      <c r="D76" s="466"/>
      <c r="E76" s="338" t="s">
        <v>105</v>
      </c>
      <c r="F76" s="338"/>
      <c r="G76" s="425">
        <f>H72</f>
        <v>99.436711610214999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>Trimethoprim</v>
      </c>
      <c r="C79" s="452"/>
    </row>
    <row r="80" spans="1:8" ht="26.25" customHeight="1" x14ac:dyDescent="0.4">
      <c r="A80" s="249" t="s">
        <v>45</v>
      </c>
      <c r="B80" s="452" t="str">
        <f>B27</f>
        <v>T7-5</v>
      </c>
      <c r="C80" s="452"/>
    </row>
    <row r="81" spans="1:12" ht="27" customHeight="1" x14ac:dyDescent="0.4">
      <c r="A81" s="249" t="s">
        <v>6</v>
      </c>
      <c r="B81" s="341">
        <f>B28</f>
        <v>99.75</v>
      </c>
    </row>
    <row r="82" spans="1:12" s="3" customFormat="1" ht="27" customHeight="1" x14ac:dyDescent="0.4">
      <c r="A82" s="249" t="s">
        <v>46</v>
      </c>
      <c r="B82" s="251">
        <v>0</v>
      </c>
      <c r="C82" s="443" t="s">
        <v>47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48</v>
      </c>
      <c r="B83" s="253">
        <f>B81-B82</f>
        <v>99.75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49</v>
      </c>
      <c r="B84" s="256">
        <v>1</v>
      </c>
      <c r="C84" s="446" t="s">
        <v>108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51</v>
      </c>
      <c r="B85" s="256">
        <v>1</v>
      </c>
      <c r="C85" s="446" t="s">
        <v>109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25</v>
      </c>
      <c r="D89" s="342" t="s">
        <v>56</v>
      </c>
      <c r="E89" s="343"/>
      <c r="F89" s="449" t="s">
        <v>57</v>
      </c>
      <c r="G89" s="451"/>
    </row>
    <row r="90" spans="1:12" ht="27" customHeight="1" x14ac:dyDescent="0.4">
      <c r="A90" s="264" t="s">
        <v>58</v>
      </c>
      <c r="B90" s="265">
        <v>4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100</v>
      </c>
      <c r="C91" s="346">
        <v>1</v>
      </c>
      <c r="D91" s="272">
        <v>3504209</v>
      </c>
      <c r="E91" s="273">
        <f>IF(ISBLANK(D91),"-",$D$101/$D$98*D91)</f>
        <v>3117670.8188646981</v>
      </c>
      <c r="F91" s="272">
        <v>3377888</v>
      </c>
      <c r="G91" s="274">
        <f>IF(ISBLANK(F91),"-",$D$101/$F$98*F91)</f>
        <v>3128994.1184678022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3519259</v>
      </c>
      <c r="E92" s="278">
        <f>IF(ISBLANK(D92),"-",$D$101/$D$98*D92)</f>
        <v>3131060.7010960132</v>
      </c>
      <c r="F92" s="277">
        <v>3353765</v>
      </c>
      <c r="G92" s="279">
        <f>IF(ISBLANK(F92),"-",$D$101/$F$98*F92)</f>
        <v>3106648.5803327905</v>
      </c>
      <c r="I92" s="453">
        <f>ABS((F96/D96*D95)-F95)/D95</f>
        <v>1.9695777794054891E-3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3496641</v>
      </c>
      <c r="E93" s="278">
        <f>IF(ISBLANK(D93),"-",$D$101/$D$98*D93)</f>
        <v>3110937.6209426653</v>
      </c>
      <c r="F93" s="277">
        <v>3351805</v>
      </c>
      <c r="G93" s="279">
        <f>IF(ISBLANK(F93),"-",$D$101/$F$98*F93)</f>
        <v>3104832.9995698412</v>
      </c>
      <c r="I93" s="453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3506703</v>
      </c>
      <c r="E95" s="288">
        <f>AVERAGE(E91:E94)</f>
        <v>3119889.7136344588</v>
      </c>
      <c r="F95" s="351">
        <f>AVERAGE(F91:F94)</f>
        <v>3361152.6666666665</v>
      </c>
      <c r="G95" s="352">
        <f>AVERAGE(G91:G94)</f>
        <v>3113491.8994568116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25.04</v>
      </c>
      <c r="E96" s="280"/>
      <c r="F96" s="292">
        <v>24.05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25.04</v>
      </c>
      <c r="E97" s="295"/>
      <c r="F97" s="294">
        <f>F96*$B$87</f>
        <v>24.05</v>
      </c>
    </row>
    <row r="98" spans="1:10" ht="19.5" customHeight="1" x14ac:dyDescent="0.3">
      <c r="A98" s="264" t="s">
        <v>73</v>
      </c>
      <c r="B98" s="357">
        <f>(B97/B96)*(B95/B94)*(B93/B92)*(B91/B90)*B89</f>
        <v>625</v>
      </c>
      <c r="C98" s="355" t="s">
        <v>112</v>
      </c>
      <c r="D98" s="358">
        <f>D97*$B$83/100</f>
        <v>24.977399999999999</v>
      </c>
      <c r="E98" s="298"/>
      <c r="F98" s="297">
        <f>F97*$B$83/100</f>
        <v>23.989875000000001</v>
      </c>
    </row>
    <row r="99" spans="1:10" ht="19.5" customHeight="1" x14ac:dyDescent="0.3">
      <c r="A99" s="454" t="s">
        <v>75</v>
      </c>
      <c r="B99" s="468"/>
      <c r="C99" s="355" t="s">
        <v>113</v>
      </c>
      <c r="D99" s="359">
        <f>D98/$B$98</f>
        <v>3.996384E-2</v>
      </c>
      <c r="E99" s="298"/>
      <c r="F99" s="301">
        <f>F98/$B$98</f>
        <v>3.8383800000000003E-2</v>
      </c>
      <c r="G99" s="360"/>
      <c r="H99" s="290"/>
    </row>
    <row r="100" spans="1:10" ht="19.5" customHeight="1" x14ac:dyDescent="0.3">
      <c r="A100" s="456"/>
      <c r="B100" s="469"/>
      <c r="C100" s="355" t="s">
        <v>77</v>
      </c>
      <c r="D100" s="361">
        <f>$B$56/$B$116</f>
        <v>3.5555555555555556E-2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3116690.8065456352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3.6112124982809156E-3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900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10</v>
      </c>
      <c r="C108" s="415">
        <v>1</v>
      </c>
      <c r="D108" s="416">
        <v>2734526</v>
      </c>
      <c r="E108" s="390">
        <f t="shared" ref="E108:E113" si="1">IF(ISBLANK(D108),"-",D108/$D$103*$D$100*$B$116)</f>
        <v>140.38099611328695</v>
      </c>
      <c r="F108" s="417">
        <f t="shared" ref="F108:F113" si="2">IF(ISBLANK(D108), "-", (E108/$B$56)*100)</f>
        <v>87.73812257080435</v>
      </c>
    </row>
    <row r="109" spans="1:10" ht="26.25" customHeight="1" x14ac:dyDescent="0.4">
      <c r="A109" s="264" t="s">
        <v>92</v>
      </c>
      <c r="B109" s="265">
        <v>50</v>
      </c>
      <c r="C109" s="411">
        <v>2</v>
      </c>
      <c r="D109" s="413">
        <v>2740391</v>
      </c>
      <c r="E109" s="391">
        <f t="shared" si="1"/>
        <v>140.68208469032166</v>
      </c>
      <c r="F109" s="418">
        <f t="shared" si="2"/>
        <v>87.926302931451033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2741485</v>
      </c>
      <c r="E110" s="391">
        <f t="shared" si="1"/>
        <v>140.73824682216753</v>
      </c>
      <c r="F110" s="418">
        <f t="shared" si="2"/>
        <v>87.961404263854703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2713134</v>
      </c>
      <c r="E111" s="391">
        <f t="shared" si="1"/>
        <v>139.28280568874703</v>
      </c>
      <c r="F111" s="418">
        <f t="shared" si="2"/>
        <v>87.051753555466888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2708733</v>
      </c>
      <c r="E112" s="391">
        <f t="shared" si="1"/>
        <v>139.05687374884425</v>
      </c>
      <c r="F112" s="418">
        <f t="shared" si="2"/>
        <v>86.910546093027662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2737956</v>
      </c>
      <c r="E113" s="392">
        <f t="shared" si="1"/>
        <v>140.55708031093897</v>
      </c>
      <c r="F113" s="419">
        <f t="shared" si="2"/>
        <v>87.848175194336847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140.11634789571772</v>
      </c>
      <c r="F115" s="421">
        <f>AVERAGE(F108:F113)</f>
        <v>87.572717434823588</v>
      </c>
    </row>
    <row r="116" spans="1:10" ht="27" customHeight="1" x14ac:dyDescent="0.4">
      <c r="A116" s="264" t="s">
        <v>100</v>
      </c>
      <c r="B116" s="296">
        <f>(B115/B114)*(B113/B112)*(B111/B110)*(B109/B108)*B107</f>
        <v>4500</v>
      </c>
      <c r="C116" s="374"/>
      <c r="D116" s="398" t="s">
        <v>81</v>
      </c>
      <c r="E116" s="396">
        <f>STDEV(E108:E113)/E115</f>
        <v>5.3296909844427571E-3</v>
      </c>
      <c r="F116" s="375">
        <f>STDEV(F108:F113)/F115</f>
        <v>5.329690984442745E-3</v>
      </c>
      <c r="I116" s="238"/>
    </row>
    <row r="117" spans="1:10" ht="27" customHeight="1" x14ac:dyDescent="0.4">
      <c r="A117" s="454" t="s">
        <v>75</v>
      </c>
      <c r="B117" s="45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120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139.05687374884425</v>
      </c>
      <c r="F119" s="422">
        <f>MIN(F108:F113)</f>
        <v>86.910546093027662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140.73824682216753</v>
      </c>
      <c r="F120" s="423">
        <f>MAX(F108:F113)</f>
        <v>87.961404263854703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466" t="str">
        <f>B26</f>
        <v>Trimethoprim</v>
      </c>
      <c r="D124" s="466"/>
      <c r="E124" s="338" t="s">
        <v>124</v>
      </c>
      <c r="F124" s="338"/>
      <c r="G124" s="424">
        <f>F115</f>
        <v>87.572717434823588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86.910546093027662</v>
      </c>
      <c r="E125" s="349" t="s">
        <v>127</v>
      </c>
      <c r="F125" s="424">
        <f>MAX(F108:F113)</f>
        <v>87.961404263854703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23</v>
      </c>
      <c r="C127" s="467"/>
      <c r="E127" s="344" t="s">
        <v>24</v>
      </c>
      <c r="F127" s="379"/>
      <c r="G127" s="467" t="s">
        <v>25</v>
      </c>
      <c r="H127" s="467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 TRIM SST</vt:lpstr>
      <vt:lpstr>SULFS SST</vt:lpstr>
      <vt:lpstr>Uniformity</vt:lpstr>
      <vt:lpstr>Sulfamethoxazole</vt:lpstr>
      <vt:lpstr>Trimethoprim</vt:lpstr>
      <vt:lpstr>' TRIM SST'!Print_Area</vt:lpstr>
      <vt:lpstr>'SULFS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2018-06-11T11:07:50Z</cp:lastPrinted>
  <dcterms:created xsi:type="dcterms:W3CDTF">2005-07-05T10:19:27Z</dcterms:created>
  <dcterms:modified xsi:type="dcterms:W3CDTF">2018-06-11T11:27:48Z</dcterms:modified>
</cp:coreProperties>
</file>