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 activeTab="3"/>
  </bookViews>
  <sheets>
    <sheet name=" TRIM SST" sheetId="5" r:id="rId1"/>
    <sheet name="SULFS SST" sheetId="6" r:id="rId2"/>
    <sheet name="Sulfamethoxazole" sheetId="7" r:id="rId3"/>
    <sheet name="Trimethoprim" sheetId="8" r:id="rId4"/>
    <sheet name="Uniformity" sheetId="2" r:id="rId5"/>
  </sheets>
  <definedNames>
    <definedName name="_xlnm.Print_Area" localSheetId="0">' TRIM SST'!$A$15:$G$62</definedName>
    <definedName name="_xlnm.Print_Area" localSheetId="1">'SULFS SST'!$A$15:$G$64</definedName>
    <definedName name="_xlnm.Print_Area" localSheetId="4">Uniformity!$A$1:$F$54</definedName>
  </definedNames>
  <calcPr calcId="145621"/>
</workbook>
</file>

<file path=xl/calcChain.xml><?xml version="1.0" encoding="utf-8"?>
<calcChain xmlns="http://schemas.openxmlformats.org/spreadsheetml/2006/main">
  <c r="B57" i="8" l="1"/>
  <c r="B57" i="7"/>
  <c r="C124" i="8"/>
  <c r="B116" i="8"/>
  <c r="D101" i="8"/>
  <c r="D100" i="8"/>
  <c r="B98" i="8"/>
  <c r="F95" i="8"/>
  <c r="D95" i="8"/>
  <c r="I92" i="8" s="1"/>
  <c r="G94" i="8"/>
  <c r="E94" i="8"/>
  <c r="B87" i="8"/>
  <c r="F97" i="8" s="1"/>
  <c r="B81" i="8"/>
  <c r="B83" i="8" s="1"/>
  <c r="B80" i="8"/>
  <c r="B79" i="8"/>
  <c r="C76" i="8"/>
  <c r="H71" i="8"/>
  <c r="G71" i="8"/>
  <c r="D68" i="8"/>
  <c r="B68" i="8"/>
  <c r="H67" i="8"/>
  <c r="G67" i="8"/>
  <c r="D64" i="8"/>
  <c r="H63" i="8"/>
  <c r="G63" i="8"/>
  <c r="D60" i="8"/>
  <c r="C56" i="8"/>
  <c r="B55" i="8"/>
  <c r="B45" i="8"/>
  <c r="D48" i="8" s="1"/>
  <c r="F42" i="8"/>
  <c r="D42" i="8"/>
  <c r="I39" i="8" s="1"/>
  <c r="G41" i="8"/>
  <c r="E41" i="8"/>
  <c r="B34" i="8"/>
  <c r="F44" i="8" s="1"/>
  <c r="F45" i="8" s="1"/>
  <c r="F46" i="8" s="1"/>
  <c r="B30" i="8"/>
  <c r="C124" i="7"/>
  <c r="B116" i="7"/>
  <c r="D100" i="7"/>
  <c r="D101" i="7" s="1"/>
  <c r="B98" i="7"/>
  <c r="F95" i="7"/>
  <c r="D95" i="7"/>
  <c r="G94" i="7"/>
  <c r="E94" i="7"/>
  <c r="I92" i="7"/>
  <c r="B87" i="7"/>
  <c r="D97" i="7" s="1"/>
  <c r="D98" i="7" s="1"/>
  <c r="D99" i="7" s="1"/>
  <c r="B83" i="7"/>
  <c r="B81" i="7"/>
  <c r="B80" i="7"/>
  <c r="B79" i="7"/>
  <c r="C76" i="7"/>
  <c r="H71" i="7"/>
  <c r="G71" i="7"/>
  <c r="B68" i="7"/>
  <c r="H67" i="7"/>
  <c r="G67" i="7"/>
  <c r="H63" i="7"/>
  <c r="G63" i="7"/>
  <c r="B69" i="7"/>
  <c r="C56" i="7"/>
  <c r="B55" i="7"/>
  <c r="B45" i="7"/>
  <c r="D48" i="7" s="1"/>
  <c r="F42" i="7"/>
  <c r="I39" i="7" s="1"/>
  <c r="D42" i="7"/>
  <c r="G41" i="7"/>
  <c r="E41" i="7"/>
  <c r="B34" i="7"/>
  <c r="F44" i="7" s="1"/>
  <c r="F45" i="7" s="1"/>
  <c r="F46" i="7" s="1"/>
  <c r="B30" i="7"/>
  <c r="B32" i="6"/>
  <c r="G30" i="6"/>
  <c r="F30" i="6"/>
  <c r="E30" i="6"/>
  <c r="D30" i="6"/>
  <c r="C30" i="6"/>
  <c r="B30" i="6"/>
  <c r="B31" i="6" s="1"/>
  <c r="B21" i="6"/>
  <c r="B32" i="5"/>
  <c r="F30" i="5"/>
  <c r="E30" i="5"/>
  <c r="D30" i="5"/>
  <c r="C30" i="5"/>
  <c r="B30" i="5"/>
  <c r="B31" i="5" s="1"/>
  <c r="B21" i="5"/>
  <c r="B69" i="8" l="1"/>
  <c r="F98" i="8"/>
  <c r="E93" i="7"/>
  <c r="E91" i="7"/>
  <c r="G92" i="7"/>
  <c r="D102" i="7"/>
  <c r="E92" i="7"/>
  <c r="E38" i="7"/>
  <c r="G39" i="7"/>
  <c r="G40" i="7"/>
  <c r="E39" i="7"/>
  <c r="D49" i="7"/>
  <c r="E40" i="7"/>
  <c r="G38" i="7"/>
  <c r="G40" i="8"/>
  <c r="D49" i="8"/>
  <c r="G38" i="8"/>
  <c r="G39" i="8"/>
  <c r="D44" i="7"/>
  <c r="D45" i="7" s="1"/>
  <c r="D46" i="7" s="1"/>
  <c r="F97" i="7"/>
  <c r="F98" i="7" s="1"/>
  <c r="F99" i="7" s="1"/>
  <c r="D97" i="8"/>
  <c r="D98" i="8" s="1"/>
  <c r="E92" i="8"/>
  <c r="D102" i="8"/>
  <c r="D44" i="8"/>
  <c r="D45" i="8" s="1"/>
  <c r="D46" i="8" s="1"/>
  <c r="D99" i="8" l="1"/>
  <c r="E93" i="8"/>
  <c r="E38" i="8"/>
  <c r="E39" i="8"/>
  <c r="D52" i="7"/>
  <c r="D50" i="7"/>
  <c r="E42" i="7"/>
  <c r="F99" i="8"/>
  <c r="G92" i="8"/>
  <c r="G91" i="8"/>
  <c r="G95" i="8" s="1"/>
  <c r="G42" i="8"/>
  <c r="E95" i="7"/>
  <c r="E91" i="8"/>
  <c r="G93" i="8"/>
  <c r="E40" i="8"/>
  <c r="G42" i="7"/>
  <c r="G93" i="7"/>
  <c r="D103" i="7" s="1"/>
  <c r="G91" i="7"/>
  <c r="D49" i="2"/>
  <c r="C49" i="2"/>
  <c r="C46" i="2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E113" i="7" l="1"/>
  <c r="F113" i="7" s="1"/>
  <c r="E111" i="7"/>
  <c r="F111" i="7" s="1"/>
  <c r="E109" i="7"/>
  <c r="F109" i="7" s="1"/>
  <c r="D104" i="7"/>
  <c r="E112" i="7"/>
  <c r="F112" i="7" s="1"/>
  <c r="E110" i="7"/>
  <c r="F110" i="7" s="1"/>
  <c r="E108" i="7"/>
  <c r="G95" i="7"/>
  <c r="D105" i="7"/>
  <c r="D50" i="8"/>
  <c r="E42" i="8"/>
  <c r="D52" i="8"/>
  <c r="D103" i="8"/>
  <c r="E95" i="8"/>
  <c r="D105" i="8"/>
  <c r="G69" i="7"/>
  <c r="H69" i="7" s="1"/>
  <c r="G66" i="7"/>
  <c r="H66" i="7" s="1"/>
  <c r="G64" i="7"/>
  <c r="H64" i="7" s="1"/>
  <c r="G62" i="7"/>
  <c r="H62" i="7" s="1"/>
  <c r="G60" i="7"/>
  <c r="D51" i="7"/>
  <c r="G70" i="7"/>
  <c r="H70" i="7" s="1"/>
  <c r="G65" i="7"/>
  <c r="H65" i="7" s="1"/>
  <c r="G61" i="7"/>
  <c r="H61" i="7" s="1"/>
  <c r="G68" i="7"/>
  <c r="H68" i="7" s="1"/>
  <c r="C50" i="2"/>
  <c r="D26" i="2"/>
  <c r="D30" i="2"/>
  <c r="D34" i="2"/>
  <c r="D38" i="2"/>
  <c r="D42" i="2"/>
  <c r="B49" i="2"/>
  <c r="D50" i="2"/>
  <c r="E113" i="8" l="1"/>
  <c r="F113" i="8" s="1"/>
  <c r="E111" i="8"/>
  <c r="F111" i="8" s="1"/>
  <c r="E109" i="8"/>
  <c r="F109" i="8" s="1"/>
  <c r="D104" i="8"/>
  <c r="E112" i="8"/>
  <c r="F112" i="8" s="1"/>
  <c r="E110" i="8"/>
  <c r="F110" i="8" s="1"/>
  <c r="E108" i="8"/>
  <c r="G74" i="7"/>
  <c r="G72" i="7"/>
  <c r="G73" i="7" s="1"/>
  <c r="H60" i="7"/>
  <c r="G66" i="8"/>
  <c r="H66" i="8" s="1"/>
  <c r="G64" i="8"/>
  <c r="H64" i="8" s="1"/>
  <c r="G70" i="8"/>
  <c r="H70" i="8" s="1"/>
  <c r="G62" i="8"/>
  <c r="H62" i="8" s="1"/>
  <c r="G60" i="8"/>
  <c r="G68" i="8"/>
  <c r="H68" i="8" s="1"/>
  <c r="G65" i="8"/>
  <c r="H65" i="8" s="1"/>
  <c r="G69" i="8"/>
  <c r="H69" i="8" s="1"/>
  <c r="G61" i="8"/>
  <c r="H61" i="8" s="1"/>
  <c r="D51" i="8"/>
  <c r="E119" i="7"/>
  <c r="E120" i="7"/>
  <c r="E117" i="7"/>
  <c r="F108" i="7"/>
  <c r="E115" i="7"/>
  <c r="E116" i="7" s="1"/>
  <c r="E120" i="8" l="1"/>
  <c r="E117" i="8"/>
  <c r="F108" i="8"/>
  <c r="E115" i="8"/>
  <c r="E116" i="8" s="1"/>
  <c r="E119" i="8"/>
  <c r="H74" i="7"/>
  <c r="H72" i="7"/>
  <c r="F125" i="7"/>
  <c r="F120" i="7"/>
  <c r="F117" i="7"/>
  <c r="D125" i="7"/>
  <c r="F115" i="7"/>
  <c r="F119" i="7"/>
  <c r="H60" i="8"/>
  <c r="G74" i="8"/>
  <c r="G72" i="8"/>
  <c r="G73" i="8" s="1"/>
  <c r="G76" i="7" l="1"/>
  <c r="H73" i="7"/>
  <c r="F125" i="8"/>
  <c r="F120" i="8"/>
  <c r="F117" i="8"/>
  <c r="D125" i="8"/>
  <c r="F115" i="8"/>
  <c r="F119" i="8"/>
  <c r="H74" i="8"/>
  <c r="H72" i="8"/>
  <c r="G124" i="7"/>
  <c r="F116" i="7"/>
  <c r="G124" i="8" l="1"/>
  <c r="F116" i="8"/>
  <c r="G76" i="8"/>
  <c r="H73" i="8"/>
</calcChain>
</file>

<file path=xl/sharedStrings.xml><?xml version="1.0" encoding="utf-8"?>
<sst xmlns="http://schemas.openxmlformats.org/spreadsheetml/2006/main" count="465" uniqueCount="148">
  <si>
    <t>HPLC System Suitability Report</t>
  </si>
  <si>
    <t>Analysis Data</t>
  </si>
  <si>
    <t>Assay</t>
  </si>
  <si>
    <t>Sample(s)</t>
  </si>
  <si>
    <t>Reference Substance:</t>
  </si>
  <si>
    <t>SULFRAN-DS TABLETS</t>
  </si>
  <si>
    <t>% age Purity:</t>
  </si>
  <si>
    <t>NDQB201805437</t>
  </si>
  <si>
    <t>Weight (mg):</t>
  </si>
  <si>
    <t>Sulphamethoxazole 800 mg, Trimethoprim 160 mg</t>
  </si>
  <si>
    <t>Standard Conc (mg/mL):</t>
  </si>
  <si>
    <t>Each tablet contains: Sulphamethoxazole BP 800 mg and Trimethoprim BP 160 mg.</t>
  </si>
  <si>
    <t>2018-06-04 11:58:24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</si>
  <si>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</si>
  <si>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</si>
  <si>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</si>
  <si>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</si>
  <si>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</si>
  <si>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</si>
  <si>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</si>
  <si>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</si>
  <si>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</si>
  <si>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</si>
  <si>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</si>
  <si>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</si>
  <si>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</si>
  <si>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</si>
  <si>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</si>
  <si>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</si>
  <si>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</si>
  <si>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</si>
  <si>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</si>
  <si>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</si>
  <si>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</si>
  <si>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</si>
  <si>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</si>
  <si>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</si>
  <si>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</si>
  <si>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</si>
  <si>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</si>
  <si>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</si>
  <si>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</si>
  <si>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</si>
  <si>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</si>
  <si>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</si>
  <si>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</si>
  <si>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</si>
  <si>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</si>
  <si>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</si>
  <si>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</si>
  <si>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</si>
  <si>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</si>
  <si>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</si>
  <si>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</si>
  <si>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</si>
  <si>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</si>
  <si>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</si>
  <si>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</si>
  <si>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</si>
  <si>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</si>
  <si>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</si>
  <si>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</si>
  <si>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</si>
  <si>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</si>
  <si>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</si>
  <si>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</si>
  <si>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</si>
  <si>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</si>
  <si>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</si>
  <si>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</si>
  <si>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</si>
  <si>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</si>
  <si>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</si>
  <si>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</si>
  <si>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</si>
  <si>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</si>
  <si>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</si>
  <si>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</si>
  <si>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</si>
  <si>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</si>
  <si>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</si>
  <si>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</si>
  <si>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</si>
  <si>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</si>
  <si>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</si>
  <si>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</si>
  <si>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</si>
  <si>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</si>
  <si>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</si>
  <si>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</si>
  <si>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</si>
  <si>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</si>
  <si>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</si>
  <si>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</si>
  <si>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</si>
  <si>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</si>
  <si>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</si>
  <si>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</si>
  <si>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</si>
  <si>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</si>
  <si>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</si>
  <si>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</si>
  <si>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</si>
  <si>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</si>
  <si>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</si>
  <si>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</si>
  <si>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</si>
  <si>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</si>
  <si>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</si>
  <si>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</si>
  <si>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</si>
  <si>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</si>
  <si>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</si>
  <si>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</si>
  <si>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</si>
  <si>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</si>
  <si>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</si>
  <si>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</si>
  <si>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</si>
  <si>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</si>
  <si>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</si>
  <si>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</si>
  <si>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</si>
  <si>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</si>
  <si>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</si>
  <si>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</si>
  <si>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</si>
  <si>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</si>
  <si>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CO-TRIMOXAZOLE TABLETS BP 960 MG</t>
  </si>
  <si>
    <t>Trimethoprim</t>
  </si>
  <si>
    <t>2018-03-13 14:03:39</t>
  </si>
  <si>
    <t>Relative Retention time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</si>
  <si>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</si>
  <si>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</si>
  <si>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</si>
  <si>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 xml:space="preserve">The RRT for Trimethoprim and Sulfamethoxazole are 1.0 </t>
  </si>
  <si>
    <t>Sulfamethoxazole</t>
  </si>
  <si>
    <t>2018-03-13 14:00:19</t>
  </si>
  <si>
    <t>Relation Retention  Times (min)</t>
  </si>
  <si>
    <t>RESOLUTION</t>
  </si>
  <si>
    <t>The RRT for Sulfamethoxazole are 1.8</t>
  </si>
  <si>
    <t>The Resolution NLT 5.0 Between Sulfamethoxazole and Trimethoprim</t>
  </si>
  <si>
    <t>SULFRAN DS TABLETS</t>
  </si>
  <si>
    <t>each tablets contains sulphamethoxazole 800mg Trimethoprim 160mg.</t>
  </si>
  <si>
    <t>2018-06-04 11:55:20</t>
  </si>
  <si>
    <t>s12-6</t>
  </si>
  <si>
    <t>T7-5</t>
  </si>
  <si>
    <t>SARAH KARIUKI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</si>
</sst>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5" fillId="2" borderId="0"/>
    <xf numFmtId="0" fontId="24" fillId="2" borderId="0"/>
    <xf numFmtId="0" fontId="24" fillId="2" borderId="0"/>
    <xf numFmtId="0" fontId="25" fillId="2" borderId="0"/>
    <xf numFmtId="0" fontId="25" fillId="2" borderId="0"/>
    <xf numFmtId="0" fontId="25" fillId="2" borderId="0"/>
    <xf numFmtId="0" fontId="25" fillId="2" borderId="0"/>
  </cellStyleXfs>
  <cellXfs count="546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6" fillId="2" borderId="0" xfId="1" applyFont="1" applyFill="1"/>
    <xf numFmtId="0" fontId="27" fillId="2" borderId="0" xfId="1" applyFont="1" applyFill="1"/>
    <xf numFmtId="0" fontId="27" fillId="2" borderId="0" xfId="1" applyFont="1" applyFill="1" applyAlignment="1">
      <alignment horizontal="right"/>
    </xf>
    <xf numFmtId="0" fontId="28" fillId="2" borderId="0" xfId="1" applyFont="1" applyFill="1" applyAlignment="1">
      <alignment horizontal="center"/>
    </xf>
    <xf numFmtId="0" fontId="29" fillId="2" borderId="0" xfId="1" applyFont="1" applyFill="1"/>
    <xf numFmtId="0" fontId="29" fillId="2" borderId="0" xfId="1" applyFont="1" applyFill="1" applyAlignment="1">
      <alignment horizontal="left"/>
    </xf>
    <xf numFmtId="0" fontId="30" fillId="2" borderId="0" xfId="1" applyFont="1" applyFill="1" applyAlignment="1">
      <alignment horizontal="left"/>
    </xf>
    <xf numFmtId="0" fontId="31" fillId="2" borderId="0" xfId="1" applyFont="1" applyFill="1"/>
    <xf numFmtId="0" fontId="30" fillId="2" borderId="0" xfId="1" applyFont="1" applyFill="1" applyAlignment="1">
      <alignment horizontal="center"/>
    </xf>
    <xf numFmtId="0" fontId="30" fillId="2" borderId="0" xfId="1" applyFont="1" applyFill="1"/>
    <xf numFmtId="2" fontId="30" fillId="2" borderId="0" xfId="1" applyNumberFormat="1" applyFont="1" applyFill="1" applyAlignment="1">
      <alignment horizontal="center"/>
    </xf>
    <xf numFmtId="164" fontId="30" fillId="2" borderId="0" xfId="1" applyNumberFormat="1" applyFont="1" applyFill="1" applyAlignment="1">
      <alignment horizontal="center"/>
    </xf>
    <xf numFmtId="0" fontId="30" fillId="2" borderId="1" xfId="1" applyFont="1" applyFill="1" applyBorder="1" applyAlignment="1">
      <alignment horizontal="center"/>
    </xf>
    <xf numFmtId="0" fontId="30" fillId="2" borderId="2" xfId="1" applyFont="1" applyFill="1" applyBorder="1" applyAlignment="1">
      <alignment horizontal="center"/>
    </xf>
    <xf numFmtId="0" fontId="30" fillId="2" borderId="0" xfId="1" applyFont="1" applyFill="1" applyBorder="1" applyAlignment="1">
      <alignment horizontal="center"/>
    </xf>
    <xf numFmtId="0" fontId="31" fillId="2" borderId="3" xfId="1" applyFont="1" applyFill="1" applyBorder="1" applyAlignment="1">
      <alignment horizontal="center"/>
    </xf>
    <xf numFmtId="0" fontId="32" fillId="3" borderId="3" xfId="1" applyFont="1" applyFill="1" applyBorder="1" applyAlignment="1" applyProtection="1">
      <alignment horizontal="center"/>
      <protection locked="0"/>
    </xf>
    <xf numFmtId="2" fontId="32" fillId="3" borderId="3" xfId="1" applyNumberFormat="1" applyFont="1" applyFill="1" applyBorder="1" applyAlignment="1" applyProtection="1">
      <alignment horizontal="center"/>
      <protection locked="0"/>
    </xf>
    <xf numFmtId="2" fontId="32" fillId="3" borderId="4" xfId="1" applyNumberFormat="1" applyFont="1" applyFill="1" applyBorder="1" applyAlignment="1" applyProtection="1">
      <alignment horizontal="center"/>
      <protection locked="0"/>
    </xf>
    <xf numFmtId="2" fontId="32" fillId="3" borderId="0" xfId="1" applyNumberFormat="1" applyFont="1" applyFill="1" applyBorder="1" applyAlignment="1" applyProtection="1">
      <alignment horizontal="center"/>
      <protection locked="0"/>
    </xf>
    <xf numFmtId="0" fontId="32" fillId="3" borderId="5" xfId="1" applyFont="1" applyFill="1" applyBorder="1" applyAlignment="1" applyProtection="1">
      <alignment horizontal="center"/>
      <protection locked="0"/>
    </xf>
    <xf numFmtId="2" fontId="32" fillId="3" borderId="5" xfId="1" applyNumberFormat="1" applyFont="1" applyFill="1" applyBorder="1" applyAlignment="1" applyProtection="1">
      <alignment horizontal="center"/>
      <protection locked="0"/>
    </xf>
    <xf numFmtId="0" fontId="31" fillId="2" borderId="4" xfId="1" applyFont="1" applyFill="1" applyBorder="1"/>
    <xf numFmtId="1" fontId="30" fillId="4" borderId="2" xfId="1" applyNumberFormat="1" applyFont="1" applyFill="1" applyBorder="1" applyAlignment="1">
      <alignment horizontal="center"/>
    </xf>
    <xf numFmtId="1" fontId="30" fillId="4" borderId="1" xfId="1" applyNumberFormat="1" applyFont="1" applyFill="1" applyBorder="1" applyAlignment="1">
      <alignment horizontal="center"/>
    </xf>
    <xf numFmtId="2" fontId="30" fillId="4" borderId="2" xfId="1" applyNumberFormat="1" applyFont="1" applyFill="1" applyBorder="1" applyAlignment="1">
      <alignment horizontal="center"/>
    </xf>
    <xf numFmtId="2" fontId="30" fillId="8" borderId="57" xfId="1" applyNumberFormat="1" applyFont="1" applyFill="1" applyBorder="1" applyAlignment="1">
      <alignment horizontal="center"/>
    </xf>
    <xf numFmtId="2" fontId="27" fillId="9" borderId="58" xfId="1" applyNumberFormat="1" applyFont="1" applyFill="1" applyBorder="1" applyAlignment="1">
      <alignment horizontal="center"/>
    </xf>
    <xf numFmtId="0" fontId="31" fillId="2" borderId="3" xfId="1" applyFont="1" applyFill="1" applyBorder="1"/>
    <xf numFmtId="10" fontId="30" fillId="5" borderId="1" xfId="1" applyNumberFormat="1" applyFont="1" applyFill="1" applyBorder="1" applyAlignment="1">
      <alignment horizontal="center"/>
    </xf>
    <xf numFmtId="165" fontId="30" fillId="2" borderId="0" xfId="1" applyNumberFormat="1" applyFont="1" applyFill="1" applyAlignment="1">
      <alignment horizontal="center"/>
    </xf>
    <xf numFmtId="0" fontId="31" fillId="2" borderId="6" xfId="1" applyFont="1" applyFill="1" applyBorder="1"/>
    <xf numFmtId="0" fontId="31" fillId="2" borderId="5" xfId="1" applyFont="1" applyFill="1" applyBorder="1"/>
    <xf numFmtId="0" fontId="30" fillId="4" borderId="1" xfId="1" applyFont="1" applyFill="1" applyBorder="1" applyAlignment="1">
      <alignment horizontal="center"/>
    </xf>
    <xf numFmtId="0" fontId="30" fillId="2" borderId="7" xfId="1" applyFont="1" applyFill="1" applyBorder="1" applyAlignment="1">
      <alignment horizontal="center"/>
    </xf>
    <xf numFmtId="0" fontId="31" fillId="2" borderId="7" xfId="1" applyFont="1" applyFill="1" applyBorder="1"/>
    <xf numFmtId="0" fontId="31" fillId="2" borderId="8" xfId="1" applyFont="1" applyFill="1" applyBorder="1"/>
    <xf numFmtId="0" fontId="31" fillId="2" borderId="0" xfId="1" applyFont="1" applyFill="1" applyAlignment="1" applyProtection="1">
      <alignment horizontal="left"/>
      <protection locked="0"/>
    </xf>
    <xf numFmtId="0" fontId="31" fillId="2" borderId="0" xfId="1" applyFont="1" applyFill="1" applyProtection="1">
      <protection locked="0"/>
    </xf>
    <xf numFmtId="0" fontId="27" fillId="2" borderId="59" xfId="1" applyFont="1" applyFill="1" applyBorder="1"/>
    <xf numFmtId="2" fontId="32" fillId="3" borderId="26" xfId="1" applyNumberFormat="1" applyFont="1" applyFill="1" applyBorder="1" applyAlignment="1" applyProtection="1">
      <alignment horizontal="center"/>
      <protection locked="0"/>
    </xf>
    <xf numFmtId="0" fontId="27" fillId="10" borderId="60" xfId="1" applyFont="1" applyFill="1" applyBorder="1" applyAlignment="1">
      <alignment horizontal="center"/>
    </xf>
    <xf numFmtId="2" fontId="32" fillId="3" borderId="31" xfId="1" applyNumberFormat="1" applyFont="1" applyFill="1" applyBorder="1" applyAlignment="1" applyProtection="1">
      <alignment horizontal="center"/>
      <protection locked="0"/>
    </xf>
    <xf numFmtId="0" fontId="27" fillId="10" borderId="61" xfId="1" applyFont="1" applyFill="1" applyBorder="1" applyAlignment="1">
      <alignment horizontal="center"/>
    </xf>
    <xf numFmtId="2" fontId="32" fillId="3" borderId="35" xfId="1" applyNumberFormat="1" applyFont="1" applyFill="1" applyBorder="1" applyAlignment="1" applyProtection="1">
      <alignment horizontal="center"/>
      <protection locked="0"/>
    </xf>
    <xf numFmtId="0" fontId="27" fillId="10" borderId="62" xfId="1" applyFont="1" applyFill="1" applyBorder="1" applyAlignment="1">
      <alignment horizontal="center"/>
    </xf>
    <xf numFmtId="2" fontId="30" fillId="4" borderId="1" xfId="1" applyNumberFormat="1" applyFont="1" applyFill="1" applyBorder="1" applyAlignment="1">
      <alignment horizontal="center"/>
    </xf>
    <xf numFmtId="0" fontId="27" fillId="9" borderId="0" xfId="1" applyFont="1" applyFill="1"/>
    <xf numFmtId="0" fontId="27" fillId="2" borderId="9" xfId="1" applyFont="1" applyFill="1" applyBorder="1"/>
    <xf numFmtId="0" fontId="27" fillId="2" borderId="0" xfId="1" applyFont="1" applyFill="1" applyAlignment="1">
      <alignment horizontal="center"/>
    </xf>
    <xf numFmtId="10" fontId="27" fillId="2" borderId="9" xfId="1" applyNumberFormat="1" applyFont="1" applyFill="1" applyBorder="1"/>
    <xf numFmtId="0" fontId="25" fillId="2" borderId="0" xfId="1" applyFill="1"/>
    <xf numFmtId="0" fontId="26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7" fillId="2" borderId="10" xfId="1" applyFont="1" applyFill="1" applyBorder="1" applyAlignment="1">
      <alignment horizontal="center"/>
    </xf>
    <xf numFmtId="0" fontId="26" fillId="2" borderId="0" xfId="1" applyFont="1" applyFill="1" applyAlignment="1">
      <alignment horizontal="right"/>
    </xf>
    <xf numFmtId="0" fontId="27" fillId="2" borderId="7" xfId="1" applyFont="1" applyFill="1" applyBorder="1"/>
    <xf numFmtId="0" fontId="26" fillId="2" borderId="11" xfId="1" applyFont="1" applyFill="1" applyBorder="1"/>
    <xf numFmtId="0" fontId="27" fillId="2" borderId="11" xfId="1" applyFont="1" applyFill="1" applyBorder="1"/>
    <xf numFmtId="0" fontId="30" fillId="2" borderId="63" xfId="1" applyFont="1" applyFill="1" applyBorder="1" applyAlignment="1">
      <alignment horizontal="center"/>
    </xf>
    <xf numFmtId="0" fontId="30" fillId="2" borderId="64" xfId="1" applyFont="1" applyFill="1" applyBorder="1" applyAlignment="1">
      <alignment horizontal="center"/>
    </xf>
    <xf numFmtId="2" fontId="32" fillId="3" borderId="61" xfId="1" applyNumberFormat="1" applyFont="1" applyFill="1" applyBorder="1" applyAlignment="1" applyProtection="1">
      <alignment horizontal="center"/>
      <protection locked="0"/>
    </xf>
    <xf numFmtId="2" fontId="32" fillId="3" borderId="65" xfId="1" applyNumberFormat="1" applyFont="1" applyFill="1" applyBorder="1" applyAlignment="1" applyProtection="1">
      <alignment horizontal="center"/>
      <protection locked="0"/>
    </xf>
    <xf numFmtId="2" fontId="27" fillId="9" borderId="59" xfId="1" applyNumberFormat="1" applyFont="1" applyFill="1" applyBorder="1" applyAlignment="1">
      <alignment horizontal="center"/>
    </xf>
    <xf numFmtId="0" fontId="31" fillId="2" borderId="0" xfId="1" applyFont="1" applyFill="1" applyBorder="1"/>
    <xf numFmtId="0" fontId="27" fillId="2" borderId="61" xfId="1" applyFont="1" applyFill="1" applyBorder="1"/>
    <xf numFmtId="0" fontId="27" fillId="2" borderId="65" xfId="1" applyFont="1" applyFill="1" applyBorder="1"/>
    <xf numFmtId="0" fontId="27" fillId="2" borderId="62" xfId="1" applyFont="1" applyFill="1" applyBorder="1"/>
    <xf numFmtId="0" fontId="27" fillId="2" borderId="66" xfId="1" applyFont="1" applyFill="1" applyBorder="1"/>
    <xf numFmtId="0" fontId="26" fillId="2" borderId="59" xfId="1" applyFont="1" applyFill="1" applyBorder="1"/>
    <xf numFmtId="0" fontId="26" fillId="10" borderId="61" xfId="1" applyFont="1" applyFill="1" applyBorder="1" applyAlignment="1">
      <alignment horizontal="center"/>
    </xf>
    <xf numFmtId="0" fontId="27" fillId="9" borderId="61" xfId="1" applyFont="1" applyFill="1" applyBorder="1" applyAlignment="1">
      <alignment horizontal="center"/>
    </xf>
    <xf numFmtId="0" fontId="26" fillId="9" borderId="61" xfId="1" applyFont="1" applyFill="1" applyBorder="1" applyAlignment="1">
      <alignment horizontal="center"/>
    </xf>
    <xf numFmtId="0" fontId="26" fillId="2" borderId="61" xfId="1" applyFont="1" applyFill="1" applyBorder="1"/>
    <xf numFmtId="0" fontId="26" fillId="2" borderId="62" xfId="1" applyFont="1" applyFill="1" applyBorder="1"/>
    <xf numFmtId="0" fontId="20" fillId="2" borderId="0" xfId="2" applyFont="1" applyFill="1" applyAlignment="1">
      <alignment horizontal="center" vertical="center"/>
    </xf>
    <xf numFmtId="0" fontId="2" fillId="2" borderId="0" xfId="2" applyFont="1" applyFill="1"/>
    <xf numFmtId="0" fontId="21" fillId="2" borderId="0" xfId="2" applyFont="1" applyFill="1" applyAlignment="1">
      <alignment horizontal="center" vertical="center"/>
    </xf>
    <xf numFmtId="0" fontId="10" fillId="2" borderId="0" xfId="2" applyFont="1" applyFill="1"/>
    <xf numFmtId="0" fontId="18" fillId="2" borderId="18" xfId="2" applyFont="1" applyFill="1" applyBorder="1" applyAlignment="1">
      <alignment horizontal="center"/>
    </xf>
    <xf numFmtId="0" fontId="18" fillId="2" borderId="19" xfId="2" applyFont="1" applyFill="1" applyBorder="1" applyAlignment="1">
      <alignment horizontal="center"/>
    </xf>
    <xf numFmtId="0" fontId="18" fillId="2" borderId="20" xfId="2" applyFont="1" applyFill="1" applyBorder="1" applyAlignment="1">
      <alignment horizontal="center"/>
    </xf>
    <xf numFmtId="0" fontId="22" fillId="2" borderId="10" xfId="2" applyFont="1" applyFill="1" applyBorder="1" applyAlignment="1">
      <alignment horizontal="center" vertical="center"/>
    </xf>
    <xf numFmtId="0" fontId="24" fillId="2" borderId="0" xfId="2" applyFill="1"/>
    <xf numFmtId="0" fontId="11" fillId="2" borderId="0" xfId="2" applyFont="1" applyFill="1"/>
    <xf numFmtId="0" fontId="12" fillId="3" borderId="0" xfId="2" applyFont="1" applyFill="1" applyAlignment="1" applyProtection="1">
      <alignment horizontal="left" wrapText="1"/>
      <protection locked="0"/>
    </xf>
    <xf numFmtId="0" fontId="12" fillId="2" borderId="0" xfId="2" applyFont="1" applyFill="1" applyAlignment="1" applyProtection="1">
      <alignment horizontal="right"/>
      <protection locked="0"/>
    </xf>
    <xf numFmtId="0" fontId="12" fillId="2" borderId="0" xfId="2" applyFont="1" applyFill="1" applyAlignment="1" applyProtection="1">
      <alignment horizontal="left"/>
      <protection locked="0"/>
    </xf>
    <xf numFmtId="0" fontId="13" fillId="2" borderId="0" xfId="2" applyFont="1" applyFill="1"/>
    <xf numFmtId="0" fontId="13" fillId="3" borderId="0" xfId="2" applyFont="1" applyFill="1" applyAlignment="1" applyProtection="1">
      <alignment horizontal="left"/>
      <protection locked="0"/>
    </xf>
    <xf numFmtId="0" fontId="13" fillId="3" borderId="0" xfId="2" applyFont="1" applyFill="1" applyAlignment="1" applyProtection="1">
      <alignment horizontal="left" wrapText="1"/>
      <protection locked="0"/>
    </xf>
    <xf numFmtId="0" fontId="10" fillId="3" borderId="0" xfId="2" applyFont="1" applyFill="1" applyProtection="1">
      <protection locked="0"/>
    </xf>
    <xf numFmtId="168" fontId="13" fillId="3" borderId="0" xfId="2" applyNumberFormat="1" applyFont="1" applyFill="1" applyAlignment="1" applyProtection="1">
      <alignment horizontal="center"/>
      <protection locked="0"/>
    </xf>
    <xf numFmtId="169" fontId="10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1" fillId="2" borderId="0" xfId="2" applyFont="1" applyFill="1" applyAlignment="1">
      <alignment horizontal="right"/>
    </xf>
    <xf numFmtId="0" fontId="10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left"/>
      <protection locked="0"/>
    </xf>
    <xf numFmtId="0" fontId="12" fillId="3" borderId="0" xfId="2" applyFont="1" applyFill="1" applyAlignment="1" applyProtection="1">
      <alignment horizontal="center"/>
      <protection locked="0"/>
    </xf>
    <xf numFmtId="0" fontId="13" fillId="3" borderId="0" xfId="2" applyFont="1" applyFill="1" applyAlignment="1" applyProtection="1">
      <alignment horizontal="center"/>
      <protection locked="0"/>
    </xf>
    <xf numFmtId="0" fontId="18" fillId="2" borderId="18" xfId="2" applyFont="1" applyFill="1" applyBorder="1" applyAlignment="1">
      <alignment horizontal="justify" vertical="center" wrapText="1"/>
    </xf>
    <xf numFmtId="0" fontId="18" fillId="2" borderId="19" xfId="2" applyFont="1" applyFill="1" applyBorder="1" applyAlignment="1">
      <alignment horizontal="justify" vertical="center" wrapText="1"/>
    </xf>
    <xf numFmtId="0" fontId="18" fillId="2" borderId="20" xfId="2" applyFont="1" applyFill="1" applyBorder="1" applyAlignment="1">
      <alignment horizontal="justify" vertical="center" wrapText="1"/>
    </xf>
    <xf numFmtId="0" fontId="5" fillId="2" borderId="1" xfId="2" applyFont="1" applyFill="1" applyBorder="1" applyAlignment="1">
      <alignment horizontal="center"/>
    </xf>
    <xf numFmtId="0" fontId="14" fillId="2" borderId="0" xfId="2" applyFont="1" applyFill="1" applyAlignment="1">
      <alignment vertical="center" wrapText="1"/>
    </xf>
    <xf numFmtId="0" fontId="11" fillId="2" borderId="0" xfId="2" applyFont="1" applyFill="1" applyAlignment="1">
      <alignment horizontal="center"/>
    </xf>
    <xf numFmtId="0" fontId="15" fillId="2" borderId="0" xfId="2" applyFont="1" applyFill="1"/>
    <xf numFmtId="0" fontId="16" fillId="2" borderId="0" xfId="2" applyFont="1" applyFill="1"/>
    <xf numFmtId="2" fontId="12" fillId="3" borderId="0" xfId="2" applyNumberFormat="1" applyFont="1" applyFill="1" applyAlignment="1" applyProtection="1">
      <alignment horizontal="center"/>
      <protection locked="0"/>
    </xf>
    <xf numFmtId="0" fontId="18" fillId="2" borderId="18" xfId="2" applyFont="1" applyFill="1" applyBorder="1" applyAlignment="1">
      <alignment horizontal="left" vertical="center" wrapText="1"/>
    </xf>
    <xf numFmtId="0" fontId="18" fillId="2" borderId="19" xfId="2" applyFont="1" applyFill="1" applyBorder="1" applyAlignment="1">
      <alignment horizontal="left" vertical="center" wrapText="1"/>
    </xf>
    <xf numFmtId="0" fontId="18" fillId="2" borderId="20" xfId="2" applyFont="1" applyFill="1" applyBorder="1" applyAlignment="1">
      <alignment horizontal="left" vertical="center" wrapText="1"/>
    </xf>
    <xf numFmtId="0" fontId="11" fillId="2" borderId="0" xfId="2" applyFont="1" applyFill="1" applyAlignment="1">
      <alignment vertical="center" wrapText="1"/>
    </xf>
    <xf numFmtId="0" fontId="17" fillId="2" borderId="0" xfId="2" applyFont="1" applyFill="1"/>
    <xf numFmtId="2" fontId="11" fillId="2" borderId="0" xfId="2" applyNumberFormat="1" applyFont="1" applyFill="1" applyAlignment="1">
      <alignment horizontal="center"/>
    </xf>
    <xf numFmtId="0" fontId="18" fillId="2" borderId="0" xfId="2" applyFont="1" applyFill="1" applyAlignment="1">
      <alignment horizontal="left" vertical="center" wrapText="1"/>
    </xf>
    <xf numFmtId="170" fontId="11" fillId="2" borderId="0" xfId="2" applyNumberFormat="1" applyFont="1" applyFill="1" applyAlignment="1">
      <alignment horizontal="center"/>
    </xf>
    <xf numFmtId="0" fontId="10" fillId="2" borderId="21" xfId="2" applyFont="1" applyFill="1" applyBorder="1" applyAlignment="1">
      <alignment horizontal="right"/>
    </xf>
    <xf numFmtId="0" fontId="12" fillId="3" borderId="22" xfId="2" applyFont="1" applyFill="1" applyBorder="1" applyAlignment="1" applyProtection="1">
      <alignment horizontal="center"/>
      <protection locked="0"/>
    </xf>
    <xf numFmtId="0" fontId="11" fillId="2" borderId="47" xfId="2" applyFont="1" applyFill="1" applyBorder="1" applyAlignment="1">
      <alignment horizontal="center"/>
    </xf>
    <xf numFmtId="0" fontId="11" fillId="2" borderId="40" xfId="2" applyFont="1" applyFill="1" applyBorder="1" applyAlignment="1">
      <alignment horizontal="center"/>
    </xf>
    <xf numFmtId="0" fontId="11" fillId="2" borderId="55" xfId="2" applyFont="1" applyFill="1" applyBorder="1" applyAlignment="1">
      <alignment horizontal="center"/>
    </xf>
    <xf numFmtId="0" fontId="10" fillId="2" borderId="23" xfId="2" applyFont="1" applyFill="1" applyBorder="1" applyAlignment="1">
      <alignment horizontal="right"/>
    </xf>
    <xf numFmtId="0" fontId="12" fillId="3" borderId="24" xfId="2" applyFont="1" applyFill="1" applyBorder="1" applyAlignment="1" applyProtection="1">
      <alignment horizontal="center"/>
      <protection locked="0"/>
    </xf>
    <xf numFmtId="0" fontId="11" fillId="2" borderId="22" xfId="2" applyFont="1" applyFill="1" applyBorder="1" applyAlignment="1">
      <alignment horizontal="center"/>
    </xf>
    <xf numFmtId="0" fontId="11" fillId="2" borderId="25" xfId="2" applyFont="1" applyFill="1" applyBorder="1" applyAlignment="1">
      <alignment horizontal="center"/>
    </xf>
    <xf numFmtId="0" fontId="11" fillId="2" borderId="26" xfId="2" applyFont="1" applyFill="1" applyBorder="1" applyAlignment="1">
      <alignment horizontal="center"/>
    </xf>
    <xf numFmtId="0" fontId="11" fillId="2" borderId="27" xfId="2" applyFont="1" applyFill="1" applyBorder="1" applyAlignment="1">
      <alignment horizontal="center"/>
    </xf>
    <xf numFmtId="0" fontId="11" fillId="2" borderId="12" xfId="2" applyFont="1" applyFill="1" applyBorder="1" applyAlignment="1">
      <alignment horizontal="center"/>
    </xf>
    <xf numFmtId="0" fontId="10" fillId="2" borderId="28" xfId="2" applyFont="1" applyFill="1" applyBorder="1" applyAlignment="1">
      <alignment horizontal="center"/>
    </xf>
    <xf numFmtId="0" fontId="12" fillId="3" borderId="29" xfId="2" applyFont="1" applyFill="1" applyBorder="1" applyAlignment="1" applyProtection="1">
      <alignment horizontal="center"/>
      <protection locked="0"/>
    </xf>
    <xf numFmtId="171" fontId="10" fillId="2" borderId="26" xfId="2" applyNumberFormat="1" applyFont="1" applyFill="1" applyBorder="1" applyAlignment="1">
      <alignment horizontal="center"/>
    </xf>
    <xf numFmtId="171" fontId="10" fillId="2" borderId="30" xfId="2" applyNumberFormat="1" applyFont="1" applyFill="1" applyBorder="1" applyAlignment="1">
      <alignment horizontal="center"/>
    </xf>
    <xf numFmtId="0" fontId="17" fillId="2" borderId="13" xfId="2" applyFont="1" applyFill="1" applyBorder="1"/>
    <xf numFmtId="0" fontId="10" fillId="2" borderId="24" xfId="2" applyFont="1" applyFill="1" applyBorder="1" applyAlignment="1">
      <alignment horizontal="center"/>
    </xf>
    <xf numFmtId="0" fontId="12" fillId="3" borderId="23" xfId="2" applyFont="1" applyFill="1" applyBorder="1" applyAlignment="1" applyProtection="1">
      <alignment horizontal="center"/>
      <protection locked="0"/>
    </xf>
    <xf numFmtId="171" fontId="10" fillId="2" borderId="31" xfId="2" applyNumberFormat="1" applyFont="1" applyFill="1" applyBorder="1" applyAlignment="1">
      <alignment horizontal="center"/>
    </xf>
    <xf numFmtId="171" fontId="10" fillId="2" borderId="32" xfId="2" applyNumberFormat="1" applyFont="1" applyFill="1" applyBorder="1" applyAlignment="1">
      <alignment horizontal="center"/>
    </xf>
    <xf numFmtId="10" fontId="14" fillId="2" borderId="14" xfId="2" applyNumberFormat="1" applyFont="1" applyFill="1" applyBorder="1" applyAlignment="1">
      <alignment horizontal="center" vertical="center"/>
    </xf>
    <xf numFmtId="0" fontId="10" fillId="2" borderId="33" xfId="2" applyFont="1" applyFill="1" applyBorder="1" applyAlignment="1">
      <alignment horizontal="center"/>
    </xf>
    <xf numFmtId="0" fontId="12" fillId="3" borderId="34" xfId="2" applyFont="1" applyFill="1" applyBorder="1" applyAlignment="1" applyProtection="1">
      <alignment horizontal="center"/>
      <protection locked="0"/>
    </xf>
    <xf numFmtId="171" fontId="10" fillId="2" borderId="35" xfId="2" applyNumberFormat="1" applyFont="1" applyFill="1" applyBorder="1" applyAlignment="1">
      <alignment horizontal="center"/>
    </xf>
    <xf numFmtId="171" fontId="10" fillId="2" borderId="36" xfId="2" applyNumberFormat="1" applyFont="1" applyFill="1" applyBorder="1" applyAlignment="1">
      <alignment horizontal="center"/>
    </xf>
    <xf numFmtId="0" fontId="10" fillId="2" borderId="15" xfId="2" applyFont="1" applyFill="1" applyBorder="1"/>
    <xf numFmtId="0" fontId="10" fillId="2" borderId="24" xfId="2" applyFont="1" applyFill="1" applyBorder="1" applyAlignment="1">
      <alignment horizontal="right"/>
    </xf>
    <xf numFmtId="1" fontId="11" fillId="6" borderId="37" xfId="2" applyNumberFormat="1" applyFont="1" applyFill="1" applyBorder="1" applyAlignment="1">
      <alignment horizontal="center"/>
    </xf>
    <xf numFmtId="171" fontId="11" fillId="6" borderId="38" xfId="2" applyNumberFormat="1" applyFont="1" applyFill="1" applyBorder="1" applyAlignment="1">
      <alignment horizontal="center"/>
    </xf>
    <xf numFmtId="171" fontId="11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0" fillId="2" borderId="40" xfId="2" applyFont="1" applyFill="1" applyBorder="1" applyAlignment="1">
      <alignment horizontal="right"/>
    </xf>
    <xf numFmtId="0" fontId="12" fillId="3" borderId="16" xfId="2" applyFont="1" applyFill="1" applyBorder="1" applyAlignment="1" applyProtection="1">
      <alignment horizontal="center"/>
      <protection locked="0"/>
    </xf>
    <xf numFmtId="0" fontId="10" fillId="2" borderId="11" xfId="2" applyFont="1" applyFill="1" applyBorder="1" applyAlignment="1">
      <alignment horizontal="right"/>
    </xf>
    <xf numFmtId="2" fontId="10" fillId="6" borderId="41" xfId="2" applyNumberFormat="1" applyFont="1" applyFill="1" applyBorder="1" applyAlignment="1">
      <alignment horizontal="center"/>
    </xf>
    <xf numFmtId="0" fontId="10" fillId="2" borderId="0" xfId="2" applyFont="1" applyFill="1" applyAlignment="1">
      <alignment horizontal="center"/>
    </xf>
    <xf numFmtId="2" fontId="10" fillId="7" borderId="41" xfId="2" applyNumberFormat="1" applyFont="1" applyFill="1" applyBorder="1" applyAlignment="1">
      <alignment horizontal="center"/>
    </xf>
    <xf numFmtId="2" fontId="10" fillId="2" borderId="0" xfId="2" applyNumberFormat="1" applyFont="1" applyFill="1" applyAlignment="1">
      <alignment horizontal="center"/>
    </xf>
    <xf numFmtId="0" fontId="18" fillId="2" borderId="21" xfId="2" applyFont="1" applyFill="1" applyBorder="1" applyAlignment="1">
      <alignment horizontal="left" vertical="center" wrapText="1"/>
    </xf>
    <xf numFmtId="0" fontId="18" fillId="2" borderId="22" xfId="2" applyFont="1" applyFill="1" applyBorder="1" applyAlignment="1">
      <alignment horizontal="left" vertical="center" wrapText="1"/>
    </xf>
    <xf numFmtId="166" fontId="10" fillId="6" borderId="41" xfId="2" applyNumberFormat="1" applyFont="1" applyFill="1" applyBorder="1" applyAlignment="1">
      <alignment horizontal="center"/>
    </xf>
    <xf numFmtId="166" fontId="10" fillId="2" borderId="0" xfId="2" applyNumberFormat="1" applyFont="1" applyFill="1" applyAlignment="1">
      <alignment horizontal="center"/>
    </xf>
    <xf numFmtId="166" fontId="10" fillId="6" borderId="17" xfId="2" applyNumberFormat="1" applyFont="1" applyFill="1" applyBorder="1" applyAlignment="1">
      <alignment horizontal="center"/>
    </xf>
    <xf numFmtId="0" fontId="18" fillId="2" borderId="43" xfId="2" applyFont="1" applyFill="1" applyBorder="1" applyAlignment="1">
      <alignment horizontal="left" vertical="center" wrapText="1"/>
    </xf>
    <xf numFmtId="0" fontId="18" fillId="2" borderId="44" xfId="2" applyFont="1" applyFill="1" applyBorder="1" applyAlignment="1">
      <alignment horizontal="left" vertical="center" wrapText="1"/>
    </xf>
    <xf numFmtId="0" fontId="10" fillId="2" borderId="42" xfId="2" applyFont="1" applyFill="1" applyBorder="1" applyAlignment="1">
      <alignment horizontal="right"/>
    </xf>
    <xf numFmtId="166" fontId="12" fillId="3" borderId="41" xfId="2" applyNumberFormat="1" applyFont="1" applyFill="1" applyBorder="1" applyAlignment="1" applyProtection="1">
      <alignment horizontal="center"/>
      <protection locked="0"/>
    </xf>
    <xf numFmtId="166" fontId="10" fillId="2" borderId="0" xfId="2" applyNumberFormat="1" applyFont="1" applyFill="1"/>
    <xf numFmtId="0" fontId="10" fillId="2" borderId="29" xfId="2" applyFont="1" applyFill="1" applyBorder="1" applyAlignment="1">
      <alignment horizontal="right"/>
    </xf>
    <xf numFmtId="1" fontId="10" fillId="2" borderId="0" xfId="2" applyNumberFormat="1" applyFont="1" applyFill="1" applyAlignment="1">
      <alignment horizontal="center"/>
    </xf>
    <xf numFmtId="0" fontId="10" fillId="2" borderId="15" xfId="2" applyFont="1" applyFill="1" applyBorder="1" applyAlignment="1">
      <alignment horizontal="right"/>
    </xf>
    <xf numFmtId="2" fontId="10" fillId="6" borderId="15" xfId="2" applyNumberFormat="1" applyFont="1" applyFill="1" applyBorder="1" applyAlignment="1">
      <alignment horizontal="center"/>
    </xf>
    <xf numFmtId="171" fontId="11" fillId="7" borderId="13" xfId="2" applyNumberFormat="1" applyFont="1" applyFill="1" applyBorder="1" applyAlignment="1">
      <alignment horizontal="center"/>
    </xf>
    <xf numFmtId="171" fontId="10" fillId="2" borderId="0" xfId="2" applyNumberFormat="1" applyFont="1" applyFill="1" applyAlignment="1">
      <alignment horizontal="center"/>
    </xf>
    <xf numFmtId="10" fontId="10" fillId="6" borderId="41" xfId="2" applyNumberFormat="1" applyFont="1" applyFill="1" applyBorder="1" applyAlignment="1">
      <alignment horizontal="center"/>
    </xf>
    <xf numFmtId="0" fontId="10" fillId="2" borderId="43" xfId="2" applyFont="1" applyFill="1" applyBorder="1" applyAlignment="1">
      <alignment horizontal="right"/>
    </xf>
    <xf numFmtId="0" fontId="10" fillId="7" borderId="15" xfId="2" applyFont="1" applyFill="1" applyBorder="1" applyAlignment="1">
      <alignment horizontal="center"/>
    </xf>
    <xf numFmtId="0" fontId="3" fillId="2" borderId="0" xfId="2" applyFont="1" applyFill="1"/>
    <xf numFmtId="0" fontId="11" fillId="2" borderId="0" xfId="2" applyFont="1" applyFill="1" applyAlignment="1">
      <alignment horizontal="left"/>
    </xf>
    <xf numFmtId="0" fontId="10" fillId="2" borderId="0" xfId="2" applyFont="1" applyFill="1" applyAlignment="1">
      <alignment horizontal="left"/>
    </xf>
    <xf numFmtId="172" fontId="12" fillId="3" borderId="0" xfId="2" applyNumberFormat="1" applyFont="1" applyFill="1" applyAlignment="1" applyProtection="1">
      <alignment horizontal="center"/>
      <protection locked="0"/>
    </xf>
    <xf numFmtId="166" fontId="11" fillId="2" borderId="0" xfId="2" applyNumberFormat="1" applyFont="1" applyFill="1" applyAlignment="1" applyProtection="1">
      <alignment horizontal="center"/>
      <protection locked="0"/>
    </xf>
    <xf numFmtId="2" fontId="11" fillId="2" borderId="13" xfId="2" applyNumberFormat="1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1" fillId="2" borderId="10" xfId="2" applyFont="1" applyFill="1" applyBorder="1" applyAlignment="1">
      <alignment horizontal="center" vertical="center"/>
    </xf>
    <xf numFmtId="2" fontId="12" fillId="3" borderId="13" xfId="2" applyNumberFormat="1" applyFont="1" applyFill="1" applyBorder="1" applyAlignment="1" applyProtection="1">
      <alignment horizontal="center" vertical="center"/>
      <protection locked="0"/>
    </xf>
    <xf numFmtId="0" fontId="10" fillId="2" borderId="13" xfId="2" applyFont="1" applyFill="1" applyBorder="1" applyAlignment="1">
      <alignment horizontal="center"/>
    </xf>
    <xf numFmtId="0" fontId="12" fillId="3" borderId="21" xfId="2" applyFont="1" applyFill="1" applyBorder="1" applyAlignment="1" applyProtection="1">
      <alignment horizontal="center"/>
      <protection locked="0"/>
    </xf>
    <xf numFmtId="166" fontId="10" fillId="2" borderId="21" xfId="2" applyNumberFormat="1" applyFont="1" applyFill="1" applyBorder="1" applyAlignment="1">
      <alignment horizontal="center"/>
    </xf>
    <xf numFmtId="173" fontId="10" fillId="2" borderId="13" xfId="2" applyNumberFormat="1" applyFont="1" applyFill="1" applyBorder="1" applyAlignment="1">
      <alignment horizontal="center" vertical="center"/>
    </xf>
    <xf numFmtId="0" fontId="11" fillId="2" borderId="0" xfId="2" applyFont="1" applyFill="1" applyAlignment="1">
      <alignment horizontal="center" vertical="center"/>
    </xf>
    <xf numFmtId="2" fontId="12" fillId="3" borderId="14" xfId="2" applyNumberFormat="1" applyFont="1" applyFill="1" applyBorder="1" applyAlignment="1" applyProtection="1">
      <alignment horizontal="center" vertical="center"/>
      <protection locked="0"/>
    </xf>
    <xf numFmtId="0" fontId="10" fillId="2" borderId="14" xfId="2" applyFont="1" applyFill="1" applyBorder="1" applyAlignment="1">
      <alignment horizontal="center"/>
    </xf>
    <xf numFmtId="166" fontId="10" fillId="2" borderId="23" xfId="2" applyNumberFormat="1" applyFont="1" applyFill="1" applyBorder="1" applyAlignment="1">
      <alignment horizontal="center"/>
    </xf>
    <xf numFmtId="173" fontId="10" fillId="2" borderId="14" xfId="2" applyNumberFormat="1" applyFont="1" applyFill="1" applyBorder="1" applyAlignment="1">
      <alignment horizontal="center" vertical="center"/>
    </xf>
    <xf numFmtId="1" fontId="12" fillId="3" borderId="23" xfId="2" applyNumberFormat="1" applyFont="1" applyFill="1" applyBorder="1" applyAlignment="1" applyProtection="1">
      <alignment horizontal="center"/>
      <protection locked="0"/>
    </xf>
    <xf numFmtId="0" fontId="11" fillId="2" borderId="9" xfId="2" applyFont="1" applyFill="1" applyBorder="1" applyAlignment="1">
      <alignment horizontal="center" vertical="center"/>
    </xf>
    <xf numFmtId="2" fontId="12" fillId="3" borderId="15" xfId="2" applyNumberFormat="1" applyFont="1" applyFill="1" applyBorder="1" applyAlignment="1" applyProtection="1">
      <alignment horizontal="center" vertical="center"/>
      <protection locked="0"/>
    </xf>
    <xf numFmtId="0" fontId="10" fillId="2" borderId="15" xfId="2" applyFont="1" applyFill="1" applyBorder="1" applyAlignment="1">
      <alignment horizontal="center"/>
    </xf>
    <xf numFmtId="0" fontId="12" fillId="3" borderId="43" xfId="2" applyFont="1" applyFill="1" applyBorder="1" applyAlignment="1" applyProtection="1">
      <alignment horizontal="center"/>
      <protection locked="0"/>
    </xf>
    <xf numFmtId="166" fontId="10" fillId="2" borderId="43" xfId="2" applyNumberFormat="1" applyFont="1" applyFill="1" applyBorder="1" applyAlignment="1">
      <alignment horizontal="center"/>
    </xf>
    <xf numFmtId="173" fontId="10" fillId="2" borderId="15" xfId="2" applyNumberFormat="1" applyFont="1" applyFill="1" applyBorder="1" applyAlignment="1">
      <alignment horizontal="center" vertical="center"/>
    </xf>
    <xf numFmtId="0" fontId="13" fillId="2" borderId="24" xfId="2" applyFont="1" applyFill="1" applyBorder="1" applyAlignment="1">
      <alignment horizontal="center"/>
    </xf>
    <xf numFmtId="2" fontId="13" fillId="2" borderId="44" xfId="2" applyNumberFormat="1" applyFont="1" applyFill="1" applyBorder="1" applyAlignment="1">
      <alignment horizontal="center"/>
    </xf>
    <xf numFmtId="0" fontId="18" fillId="2" borderId="21" xfId="2" applyFont="1" applyFill="1" applyBorder="1" applyAlignment="1">
      <alignment horizontal="center" vertical="center" wrapText="1"/>
    </xf>
    <xf numFmtId="0" fontId="18" fillId="2" borderId="22" xfId="2" applyFont="1" applyFill="1" applyBorder="1" applyAlignment="1">
      <alignment horizontal="center" vertical="center" wrapText="1"/>
    </xf>
    <xf numFmtId="0" fontId="18" fillId="2" borderId="43" xfId="2" applyFont="1" applyFill="1" applyBorder="1" applyAlignment="1">
      <alignment horizontal="center" vertical="center" wrapText="1"/>
    </xf>
    <xf numFmtId="0" fontId="18" fillId="2" borderId="44" xfId="2" applyFont="1" applyFill="1" applyBorder="1" applyAlignment="1">
      <alignment horizontal="center" vertical="center" wrapText="1"/>
    </xf>
    <xf numFmtId="0" fontId="11" fillId="2" borderId="43" xfId="2" applyFont="1" applyFill="1" applyBorder="1" applyAlignment="1">
      <alignment horizontal="center" vertical="center"/>
    </xf>
    <xf numFmtId="0" fontId="10" fillId="2" borderId="45" xfId="2" applyFont="1" applyFill="1" applyBorder="1" applyAlignment="1">
      <alignment horizontal="right"/>
    </xf>
    <xf numFmtId="2" fontId="12" fillId="7" borderId="33" xfId="2" applyNumberFormat="1" applyFont="1" applyFill="1" applyBorder="1" applyAlignment="1">
      <alignment horizontal="center"/>
    </xf>
    <xf numFmtId="173" fontId="12" fillId="7" borderId="33" xfId="2" applyNumberFormat="1" applyFont="1" applyFill="1" applyBorder="1" applyAlignment="1">
      <alignment horizontal="center"/>
    </xf>
    <xf numFmtId="0" fontId="10" fillId="2" borderId="41" xfId="2" applyFont="1" applyFill="1" applyBorder="1" applyAlignment="1">
      <alignment horizontal="right"/>
    </xf>
    <xf numFmtId="10" fontId="12" fillId="6" borderId="54" xfId="2" applyNumberFormat="1" applyFont="1" applyFill="1" applyBorder="1" applyAlignment="1">
      <alignment horizontal="center"/>
    </xf>
    <xf numFmtId="0" fontId="10" fillId="2" borderId="17" xfId="2" applyFont="1" applyFill="1" applyBorder="1" applyAlignment="1">
      <alignment horizontal="right"/>
    </xf>
    <xf numFmtId="0" fontId="12" fillId="7" borderId="46" xfId="2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174" fontId="12" fillId="2" borderId="0" xfId="2" applyNumberFormat="1" applyFont="1" applyFill="1" applyAlignment="1">
      <alignment horizontal="center"/>
    </xf>
    <xf numFmtId="0" fontId="12" fillId="3" borderId="0" xfId="2" applyFont="1" applyFill="1" applyAlignment="1" applyProtection="1">
      <alignment horizontal="left"/>
      <protection locked="0"/>
    </xf>
    <xf numFmtId="0" fontId="11" fillId="2" borderId="47" xfId="2" applyFont="1" applyFill="1" applyBorder="1" applyAlignment="1">
      <alignment horizontal="center"/>
    </xf>
    <xf numFmtId="0" fontId="11" fillId="2" borderId="40" xfId="2" applyFont="1" applyFill="1" applyBorder="1" applyAlignment="1">
      <alignment horizontal="center"/>
    </xf>
    <xf numFmtId="0" fontId="11" fillId="2" borderId="10" xfId="2" applyFont="1" applyFill="1" applyBorder="1" applyAlignment="1">
      <alignment horizontal="center"/>
    </xf>
    <xf numFmtId="0" fontId="11" fillId="2" borderId="30" xfId="2" applyFont="1" applyFill="1" applyBorder="1" applyAlignment="1">
      <alignment horizontal="center"/>
    </xf>
    <xf numFmtId="0" fontId="10" fillId="2" borderId="48" xfId="2" applyFont="1" applyFill="1" applyBorder="1" applyAlignment="1">
      <alignment horizontal="center"/>
    </xf>
    <xf numFmtId="0" fontId="10" fillId="2" borderId="7" xfId="2" applyFont="1" applyFill="1" applyBorder="1" applyAlignment="1">
      <alignment horizontal="center"/>
    </xf>
    <xf numFmtId="171" fontId="12" fillId="3" borderId="34" xfId="2" applyNumberFormat="1" applyFont="1" applyFill="1" applyBorder="1" applyAlignment="1" applyProtection="1">
      <alignment horizontal="center"/>
      <protection locked="0"/>
    </xf>
    <xf numFmtId="1" fontId="11" fillId="6" borderId="49" xfId="2" applyNumberFormat="1" applyFont="1" applyFill="1" applyBorder="1" applyAlignment="1">
      <alignment horizontal="center"/>
    </xf>
    <xf numFmtId="1" fontId="11" fillId="6" borderId="50" xfId="2" applyNumberFormat="1" applyFont="1" applyFill="1" applyBorder="1" applyAlignment="1">
      <alignment horizontal="center"/>
    </xf>
    <xf numFmtId="171" fontId="11" fillId="6" borderId="15" xfId="2" applyNumberFormat="1" applyFont="1" applyFill="1" applyBorder="1" applyAlignment="1">
      <alignment horizontal="center"/>
    </xf>
    <xf numFmtId="0" fontId="10" fillId="2" borderId="51" xfId="2" applyFont="1" applyFill="1" applyBorder="1" applyAlignment="1">
      <alignment horizontal="right"/>
    </xf>
    <xf numFmtId="0" fontId="12" fillId="3" borderId="52" xfId="2" applyFont="1" applyFill="1" applyBorder="1" applyAlignment="1" applyProtection="1">
      <alignment horizontal="center"/>
      <protection locked="0"/>
    </xf>
    <xf numFmtId="0" fontId="10" fillId="2" borderId="25" xfId="2" applyFont="1" applyFill="1" applyBorder="1" applyAlignment="1">
      <alignment horizontal="right"/>
    </xf>
    <xf numFmtId="2" fontId="10" fillId="6" borderId="27" xfId="2" applyNumberFormat="1" applyFont="1" applyFill="1" applyBorder="1" applyAlignment="1">
      <alignment horizontal="center"/>
    </xf>
    <xf numFmtId="2" fontId="10" fillId="7" borderId="27" xfId="2" applyNumberFormat="1" applyFont="1" applyFill="1" applyBorder="1" applyAlignment="1">
      <alignment horizontal="center"/>
    </xf>
    <xf numFmtId="0" fontId="18" fillId="2" borderId="10" xfId="2" applyFont="1" applyFill="1" applyBorder="1" applyAlignment="1">
      <alignment horizontal="left" vertical="center" wrapText="1"/>
    </xf>
    <xf numFmtId="166" fontId="10" fillId="6" borderId="27" xfId="2" applyNumberFormat="1" applyFont="1" applyFill="1" applyBorder="1" applyAlignment="1">
      <alignment horizontal="center"/>
    </xf>
    <xf numFmtId="0" fontId="18" fillId="2" borderId="9" xfId="2" applyFont="1" applyFill="1" applyBorder="1" applyAlignment="1">
      <alignment horizontal="left" vertical="center" wrapText="1"/>
    </xf>
    <xf numFmtId="166" fontId="10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0" fillId="2" borderId="53" xfId="2" applyFont="1" applyFill="1" applyBorder="1" applyAlignment="1">
      <alignment horizontal="right"/>
    </xf>
    <xf numFmtId="2" fontId="10" fillId="7" borderId="30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 wrapText="1"/>
    </xf>
    <xf numFmtId="0" fontId="10" fillId="2" borderId="16" xfId="2" applyFont="1" applyFill="1" applyBorder="1" applyAlignment="1">
      <alignment horizontal="right"/>
    </xf>
    <xf numFmtId="171" fontId="11" fillId="7" borderId="16" xfId="2" applyNumberFormat="1" applyFont="1" applyFill="1" applyBorder="1" applyAlignment="1">
      <alignment horizontal="center"/>
    </xf>
    <xf numFmtId="10" fontId="10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7" borderId="17" xfId="2" applyFont="1" applyFill="1" applyBorder="1" applyAlignment="1">
      <alignment horizontal="center"/>
    </xf>
    <xf numFmtId="0" fontId="11" fillId="2" borderId="22" xfId="2" applyFont="1" applyFill="1" applyBorder="1" applyAlignment="1">
      <alignment horizontal="center" wrapText="1"/>
    </xf>
    <xf numFmtId="1" fontId="12" fillId="3" borderId="13" xfId="2" applyNumberFormat="1" applyFont="1" applyFill="1" applyBorder="1" applyAlignment="1" applyProtection="1">
      <alignment horizontal="center"/>
      <protection locked="0"/>
    </xf>
    <xf numFmtId="166" fontId="10" fillId="2" borderId="13" xfId="2" applyNumberFormat="1" applyFont="1" applyFill="1" applyBorder="1" applyAlignment="1">
      <alignment horizontal="center"/>
    </xf>
    <xf numFmtId="173" fontId="10" fillId="2" borderId="22" xfId="2" applyNumberFormat="1" applyFont="1" applyFill="1" applyBorder="1" applyAlignment="1">
      <alignment horizontal="center"/>
    </xf>
    <xf numFmtId="1" fontId="12" fillId="3" borderId="14" xfId="2" applyNumberFormat="1" applyFont="1" applyFill="1" applyBorder="1" applyAlignment="1" applyProtection="1">
      <alignment horizontal="center"/>
      <protection locked="0"/>
    </xf>
    <xf numFmtId="166" fontId="10" fillId="2" borderId="14" xfId="2" applyNumberFormat="1" applyFont="1" applyFill="1" applyBorder="1" applyAlignment="1">
      <alignment horizontal="center"/>
    </xf>
    <xf numFmtId="173" fontId="10" fillId="2" borderId="24" xfId="2" applyNumberFormat="1" applyFont="1" applyFill="1" applyBorder="1" applyAlignment="1">
      <alignment horizontal="center"/>
    </xf>
    <xf numFmtId="1" fontId="12" fillId="3" borderId="15" xfId="2" applyNumberFormat="1" applyFont="1" applyFill="1" applyBorder="1" applyAlignment="1" applyProtection="1">
      <alignment horizontal="center"/>
      <protection locked="0"/>
    </xf>
    <xf numFmtId="166" fontId="10" fillId="2" borderId="15" xfId="2" applyNumberFormat="1" applyFont="1" applyFill="1" applyBorder="1" applyAlignment="1">
      <alignment horizontal="center"/>
    </xf>
    <xf numFmtId="173" fontId="10" fillId="2" borderId="44" xfId="2" applyNumberFormat="1" applyFont="1" applyFill="1" applyBorder="1" applyAlignment="1">
      <alignment horizontal="center"/>
    </xf>
    <xf numFmtId="0" fontId="10" fillId="2" borderId="23" xfId="2" applyFont="1" applyFill="1" applyBorder="1" applyAlignment="1">
      <alignment horizontal="center"/>
    </xf>
    <xf numFmtId="171" fontId="10" fillId="2" borderId="16" xfId="2" applyNumberFormat="1" applyFont="1" applyFill="1" applyBorder="1" applyAlignment="1">
      <alignment horizontal="right"/>
    </xf>
    <xf numFmtId="2" fontId="12" fillId="7" borderId="55" xfId="2" applyNumberFormat="1" applyFont="1" applyFill="1" applyBorder="1" applyAlignment="1">
      <alignment horizontal="center"/>
    </xf>
    <xf numFmtId="174" fontId="12" fillId="7" borderId="52" xfId="2" applyNumberFormat="1" applyFont="1" applyFill="1" applyBorder="1" applyAlignment="1">
      <alignment horizontal="center"/>
    </xf>
    <xf numFmtId="0" fontId="10" fillId="2" borderId="23" xfId="2" applyFont="1" applyFill="1" applyBorder="1"/>
    <xf numFmtId="0" fontId="10" fillId="2" borderId="14" xfId="2" applyFont="1" applyFill="1" applyBorder="1" applyAlignment="1">
      <alignment horizontal="right"/>
    </xf>
    <xf numFmtId="10" fontId="12" fillId="6" borderId="27" xfId="2" applyNumberFormat="1" applyFont="1" applyFill="1" applyBorder="1" applyAlignment="1">
      <alignment horizontal="center"/>
    </xf>
    <xf numFmtId="0" fontId="10" fillId="2" borderId="43" xfId="2" applyFont="1" applyFill="1" applyBorder="1"/>
    <xf numFmtId="0" fontId="12" fillId="7" borderId="28" xfId="2" applyFont="1" applyFill="1" applyBorder="1" applyAlignment="1">
      <alignment horizontal="center"/>
    </xf>
    <xf numFmtId="0" fontId="12" fillId="7" borderId="56" xfId="2" applyFont="1" applyFill="1" applyBorder="1" applyAlignment="1">
      <alignment horizontal="center"/>
    </xf>
    <xf numFmtId="0" fontId="10" fillId="2" borderId="13" xfId="2" applyFont="1" applyFill="1" applyBorder="1"/>
    <xf numFmtId="0" fontId="11" fillId="2" borderId="47" xfId="2" applyFont="1" applyFill="1" applyBorder="1" applyAlignment="1">
      <alignment horizontal="center" vertical="center"/>
    </xf>
    <xf numFmtId="0" fontId="11" fillId="2" borderId="55" xfId="2" applyFont="1" applyFill="1" applyBorder="1" applyAlignment="1">
      <alignment horizontal="center" vertical="center"/>
    </xf>
    <xf numFmtId="0" fontId="18" fillId="2" borderId="0" xfId="2" applyFont="1" applyFill="1" applyAlignment="1">
      <alignment horizontal="right" vertical="center" wrapText="1"/>
    </xf>
    <xf numFmtId="2" fontId="12" fillId="6" borderId="54" xfId="2" applyNumberFormat="1" applyFont="1" applyFill="1" applyBorder="1" applyAlignment="1">
      <alignment horizontal="center"/>
    </xf>
    <xf numFmtId="174" fontId="12" fillId="6" borderId="54" xfId="2" applyNumberFormat="1" applyFont="1" applyFill="1" applyBorder="1" applyAlignment="1">
      <alignment horizontal="center"/>
    </xf>
    <xf numFmtId="2" fontId="12" fillId="7" borderId="46" xfId="2" applyNumberFormat="1" applyFont="1" applyFill="1" applyBorder="1" applyAlignment="1">
      <alignment horizontal="center"/>
    </xf>
    <xf numFmtId="174" fontId="12" fillId="7" borderId="46" xfId="2" applyNumberFormat="1" applyFont="1" applyFill="1" applyBorder="1" applyAlignment="1">
      <alignment horizontal="center"/>
    </xf>
    <xf numFmtId="175" fontId="19" fillId="2" borderId="0" xfId="2" applyNumberFormat="1" applyFont="1" applyFill="1" applyAlignment="1">
      <alignment horizontal="center"/>
    </xf>
    <xf numFmtId="165" fontId="12" fillId="2" borderId="0" xfId="2" applyNumberFormat="1" applyFont="1" applyFill="1" applyAlignment="1">
      <alignment horizontal="center"/>
    </xf>
    <xf numFmtId="0" fontId="18" fillId="2" borderId="9" xfId="2" applyFont="1" applyFill="1" applyBorder="1" applyAlignment="1">
      <alignment horizontal="left" vertical="center" wrapText="1"/>
    </xf>
    <xf numFmtId="0" fontId="10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0" fillId="2" borderId="10" xfId="2" applyFont="1" applyFill="1" applyBorder="1" applyAlignment="1">
      <alignment horizontal="center"/>
    </xf>
    <xf numFmtId="0" fontId="10" fillId="2" borderId="7" xfId="2" applyFont="1" applyFill="1" applyBorder="1"/>
    <xf numFmtId="0" fontId="11" fillId="2" borderId="11" xfId="2" applyFont="1" applyFill="1" applyBorder="1"/>
    <xf numFmtId="0" fontId="10" fillId="2" borderId="11" xfId="2" applyFont="1" applyFill="1" applyBorder="1"/>
    <xf numFmtId="0" fontId="20" fillId="2" borderId="0" xfId="3" applyFont="1" applyFill="1" applyAlignment="1">
      <alignment horizontal="center" vertical="center"/>
    </xf>
    <xf numFmtId="0" fontId="2" fillId="2" borderId="0" xfId="3" applyFont="1" applyFill="1"/>
    <xf numFmtId="0" fontId="21" fillId="2" borderId="0" xfId="3" applyFont="1" applyFill="1" applyAlignment="1">
      <alignment horizontal="center" vertical="center"/>
    </xf>
    <xf numFmtId="0" fontId="10" fillId="2" borderId="0" xfId="3" applyFont="1" applyFill="1"/>
    <xf numFmtId="0" fontId="18" fillId="2" borderId="18" xfId="3" applyFont="1" applyFill="1" applyBorder="1" applyAlignment="1">
      <alignment horizontal="center"/>
    </xf>
    <xf numFmtId="0" fontId="18" fillId="2" borderId="19" xfId="3" applyFont="1" applyFill="1" applyBorder="1" applyAlignment="1">
      <alignment horizontal="center"/>
    </xf>
    <xf numFmtId="0" fontId="18" fillId="2" borderId="20" xfId="3" applyFont="1" applyFill="1" applyBorder="1" applyAlignment="1">
      <alignment horizontal="center"/>
    </xf>
    <xf numFmtId="0" fontId="22" fillId="2" borderId="10" xfId="3" applyFont="1" applyFill="1" applyBorder="1" applyAlignment="1">
      <alignment horizontal="center" vertical="center"/>
    </xf>
    <xf numFmtId="0" fontId="24" fillId="2" borderId="0" xfId="3" applyFill="1"/>
    <xf numFmtId="0" fontId="11" fillId="2" borderId="0" xfId="3" applyFont="1" applyFill="1"/>
    <xf numFmtId="0" fontId="12" fillId="3" borderId="0" xfId="3" applyFont="1" applyFill="1" applyAlignment="1" applyProtection="1">
      <alignment horizontal="left" wrapText="1"/>
      <protection locked="0"/>
    </xf>
    <xf numFmtId="0" fontId="12" fillId="2" borderId="0" xfId="3" applyFont="1" applyFill="1" applyAlignment="1" applyProtection="1">
      <alignment horizontal="right"/>
      <protection locked="0"/>
    </xf>
    <xf numFmtId="0" fontId="12" fillId="2" borderId="0" xfId="3" applyFont="1" applyFill="1" applyAlignment="1" applyProtection="1">
      <alignment horizontal="left"/>
      <protection locked="0"/>
    </xf>
    <xf numFmtId="0" fontId="13" fillId="2" borderId="0" xfId="3" applyFont="1" applyFill="1"/>
    <xf numFmtId="0" fontId="13" fillId="3" borderId="0" xfId="3" applyFont="1" applyFill="1" applyAlignment="1" applyProtection="1">
      <alignment horizontal="left"/>
      <protection locked="0"/>
    </xf>
    <xf numFmtId="0" fontId="13" fillId="3" borderId="0" xfId="3" applyFont="1" applyFill="1" applyAlignment="1" applyProtection="1">
      <alignment horizontal="left" wrapText="1"/>
      <protection locked="0"/>
    </xf>
    <xf numFmtId="0" fontId="10" fillId="3" borderId="0" xfId="3" applyFont="1" applyFill="1" applyProtection="1">
      <protection locked="0"/>
    </xf>
    <xf numFmtId="168" fontId="13" fillId="3" borderId="0" xfId="3" applyNumberFormat="1" applyFont="1" applyFill="1" applyAlignment="1" applyProtection="1">
      <alignment horizontal="center"/>
      <protection locked="0"/>
    </xf>
    <xf numFmtId="169" fontId="10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1" fillId="2" borderId="0" xfId="3" applyFont="1" applyFill="1" applyAlignment="1">
      <alignment horizontal="right"/>
    </xf>
    <xf numFmtId="0" fontId="10" fillId="2" borderId="0" xfId="3" applyFont="1" applyFill="1" applyAlignment="1">
      <alignment horizontal="right"/>
    </xf>
    <xf numFmtId="0" fontId="13" fillId="3" borderId="0" xfId="3" applyFont="1" applyFill="1" applyAlignment="1" applyProtection="1">
      <alignment horizontal="left"/>
      <protection locked="0"/>
    </xf>
    <xf numFmtId="0" fontId="12" fillId="3" borderId="0" xfId="3" applyFont="1" applyFill="1" applyAlignment="1" applyProtection="1">
      <alignment horizontal="center"/>
      <protection locked="0"/>
    </xf>
    <xf numFmtId="0" fontId="13" fillId="3" borderId="0" xfId="3" applyFont="1" applyFill="1" applyAlignment="1" applyProtection="1">
      <alignment horizontal="center"/>
      <protection locked="0"/>
    </xf>
    <xf numFmtId="0" fontId="18" fillId="2" borderId="18" xfId="3" applyFont="1" applyFill="1" applyBorder="1" applyAlignment="1">
      <alignment horizontal="justify" vertical="center" wrapText="1"/>
    </xf>
    <xf numFmtId="0" fontId="18" fillId="2" borderId="19" xfId="3" applyFont="1" applyFill="1" applyBorder="1" applyAlignment="1">
      <alignment horizontal="justify" vertical="center" wrapText="1"/>
    </xf>
    <xf numFmtId="0" fontId="18" fillId="2" borderId="20" xfId="3" applyFont="1" applyFill="1" applyBorder="1" applyAlignment="1">
      <alignment horizontal="justify" vertical="center" wrapText="1"/>
    </xf>
    <xf numFmtId="0" fontId="5" fillId="2" borderId="1" xfId="3" applyFont="1" applyFill="1" applyBorder="1" applyAlignment="1">
      <alignment horizontal="center"/>
    </xf>
    <xf numFmtId="0" fontId="14" fillId="2" borderId="0" xfId="3" applyFont="1" applyFill="1" applyAlignment="1">
      <alignment vertical="center" wrapText="1"/>
    </xf>
    <xf numFmtId="0" fontId="11" fillId="2" borderId="0" xfId="3" applyFont="1" applyFill="1" applyAlignment="1">
      <alignment horizontal="center"/>
    </xf>
    <xf numFmtId="0" fontId="15" fillId="2" borderId="0" xfId="3" applyFont="1" applyFill="1"/>
    <xf numFmtId="0" fontId="16" fillId="2" borderId="0" xfId="3" applyFont="1" applyFill="1"/>
    <xf numFmtId="2" fontId="12" fillId="3" borderId="0" xfId="3" applyNumberFormat="1" applyFont="1" applyFill="1" applyAlignment="1" applyProtection="1">
      <alignment horizontal="center"/>
      <protection locked="0"/>
    </xf>
    <xf numFmtId="0" fontId="18" fillId="2" borderId="18" xfId="3" applyFont="1" applyFill="1" applyBorder="1" applyAlignment="1">
      <alignment horizontal="left" vertical="center" wrapText="1"/>
    </xf>
    <xf numFmtId="0" fontId="18" fillId="2" borderId="19" xfId="3" applyFont="1" applyFill="1" applyBorder="1" applyAlignment="1">
      <alignment horizontal="left" vertical="center" wrapText="1"/>
    </xf>
    <xf numFmtId="0" fontId="18" fillId="2" borderId="20" xfId="3" applyFont="1" applyFill="1" applyBorder="1" applyAlignment="1">
      <alignment horizontal="left" vertical="center" wrapText="1"/>
    </xf>
    <xf numFmtId="0" fontId="11" fillId="2" borderId="0" xfId="3" applyFont="1" applyFill="1" applyAlignment="1">
      <alignment vertical="center" wrapText="1"/>
    </xf>
    <xf numFmtId="0" fontId="17" fillId="2" borderId="0" xfId="3" applyFont="1" applyFill="1"/>
    <xf numFmtId="2" fontId="11" fillId="2" borderId="0" xfId="3" applyNumberFormat="1" applyFont="1" applyFill="1" applyAlignment="1">
      <alignment horizontal="center"/>
    </xf>
    <xf numFmtId="0" fontId="18" fillId="2" borderId="0" xfId="3" applyFont="1" applyFill="1" applyAlignment="1">
      <alignment horizontal="left" vertical="center" wrapText="1"/>
    </xf>
    <xf numFmtId="170" fontId="11" fillId="2" borderId="0" xfId="3" applyNumberFormat="1" applyFont="1" applyFill="1" applyAlignment="1">
      <alignment horizontal="center"/>
    </xf>
    <xf numFmtId="0" fontId="10" fillId="2" borderId="21" xfId="3" applyFont="1" applyFill="1" applyBorder="1" applyAlignment="1">
      <alignment horizontal="right"/>
    </xf>
    <xf numFmtId="0" fontId="12" fillId="3" borderId="22" xfId="3" applyFont="1" applyFill="1" applyBorder="1" applyAlignment="1" applyProtection="1">
      <alignment horizontal="center"/>
      <protection locked="0"/>
    </xf>
    <xf numFmtId="0" fontId="11" fillId="2" borderId="47" xfId="3" applyFont="1" applyFill="1" applyBorder="1" applyAlignment="1">
      <alignment horizontal="center"/>
    </xf>
    <xf numFmtId="0" fontId="11" fillId="2" borderId="40" xfId="3" applyFont="1" applyFill="1" applyBorder="1" applyAlignment="1">
      <alignment horizontal="center"/>
    </xf>
    <xf numFmtId="0" fontId="11" fillId="2" borderId="55" xfId="3" applyFont="1" applyFill="1" applyBorder="1" applyAlignment="1">
      <alignment horizontal="center"/>
    </xf>
    <xf numFmtId="0" fontId="10" fillId="2" borderId="23" xfId="3" applyFont="1" applyFill="1" applyBorder="1" applyAlignment="1">
      <alignment horizontal="right"/>
    </xf>
    <xf numFmtId="0" fontId="12" fillId="3" borderId="24" xfId="3" applyFont="1" applyFill="1" applyBorder="1" applyAlignment="1" applyProtection="1">
      <alignment horizontal="center"/>
      <protection locked="0"/>
    </xf>
    <xf numFmtId="0" fontId="11" fillId="2" borderId="22" xfId="3" applyFont="1" applyFill="1" applyBorder="1" applyAlignment="1">
      <alignment horizontal="center"/>
    </xf>
    <xf numFmtId="0" fontId="11" fillId="2" borderId="25" xfId="3" applyFont="1" applyFill="1" applyBorder="1" applyAlignment="1">
      <alignment horizontal="center"/>
    </xf>
    <xf numFmtId="0" fontId="11" fillId="2" borderId="26" xfId="3" applyFont="1" applyFill="1" applyBorder="1" applyAlignment="1">
      <alignment horizontal="center"/>
    </xf>
    <xf numFmtId="0" fontId="11" fillId="2" borderId="27" xfId="3" applyFont="1" applyFill="1" applyBorder="1" applyAlignment="1">
      <alignment horizontal="center"/>
    </xf>
    <xf numFmtId="0" fontId="11" fillId="2" borderId="12" xfId="3" applyFont="1" applyFill="1" applyBorder="1" applyAlignment="1">
      <alignment horizontal="center"/>
    </xf>
    <xf numFmtId="0" fontId="10" fillId="2" borderId="28" xfId="3" applyFont="1" applyFill="1" applyBorder="1" applyAlignment="1">
      <alignment horizontal="center"/>
    </xf>
    <xf numFmtId="0" fontId="12" fillId="3" borderId="29" xfId="3" applyFont="1" applyFill="1" applyBorder="1" applyAlignment="1" applyProtection="1">
      <alignment horizontal="center"/>
      <protection locked="0"/>
    </xf>
    <xf numFmtId="171" fontId="10" fillId="2" borderId="26" xfId="3" applyNumberFormat="1" applyFont="1" applyFill="1" applyBorder="1" applyAlignment="1">
      <alignment horizontal="center"/>
    </xf>
    <xf numFmtId="171" fontId="10" fillId="2" borderId="30" xfId="3" applyNumberFormat="1" applyFont="1" applyFill="1" applyBorder="1" applyAlignment="1">
      <alignment horizontal="center"/>
    </xf>
    <xf numFmtId="0" fontId="17" fillId="2" borderId="13" xfId="3" applyFont="1" applyFill="1" applyBorder="1"/>
    <xf numFmtId="0" fontId="10" fillId="2" borderId="24" xfId="3" applyFont="1" applyFill="1" applyBorder="1" applyAlignment="1">
      <alignment horizontal="center"/>
    </xf>
    <xf numFmtId="0" fontId="12" fillId="3" borderId="23" xfId="3" applyFont="1" applyFill="1" applyBorder="1" applyAlignment="1" applyProtection="1">
      <alignment horizontal="center"/>
      <protection locked="0"/>
    </xf>
    <xf numFmtId="171" fontId="10" fillId="2" borderId="31" xfId="3" applyNumberFormat="1" applyFont="1" applyFill="1" applyBorder="1" applyAlignment="1">
      <alignment horizontal="center"/>
    </xf>
    <xf numFmtId="171" fontId="10" fillId="2" borderId="32" xfId="3" applyNumberFormat="1" applyFont="1" applyFill="1" applyBorder="1" applyAlignment="1">
      <alignment horizontal="center"/>
    </xf>
    <xf numFmtId="10" fontId="14" fillId="2" borderId="14" xfId="3" applyNumberFormat="1" applyFont="1" applyFill="1" applyBorder="1" applyAlignment="1">
      <alignment horizontal="center" vertical="center"/>
    </xf>
    <xf numFmtId="0" fontId="10" fillId="2" borderId="33" xfId="3" applyFont="1" applyFill="1" applyBorder="1" applyAlignment="1">
      <alignment horizontal="center"/>
    </xf>
    <xf numFmtId="0" fontId="12" fillId="3" borderId="34" xfId="3" applyFont="1" applyFill="1" applyBorder="1" applyAlignment="1" applyProtection="1">
      <alignment horizontal="center"/>
      <protection locked="0"/>
    </xf>
    <xf numFmtId="171" fontId="10" fillId="2" borderId="35" xfId="3" applyNumberFormat="1" applyFont="1" applyFill="1" applyBorder="1" applyAlignment="1">
      <alignment horizontal="center"/>
    </xf>
    <xf numFmtId="171" fontId="10" fillId="2" borderId="36" xfId="3" applyNumberFormat="1" applyFont="1" applyFill="1" applyBorder="1" applyAlignment="1">
      <alignment horizontal="center"/>
    </xf>
    <xf numFmtId="0" fontId="10" fillId="2" borderId="15" xfId="3" applyFont="1" applyFill="1" applyBorder="1"/>
    <xf numFmtId="0" fontId="10" fillId="2" borderId="24" xfId="3" applyFont="1" applyFill="1" applyBorder="1" applyAlignment="1">
      <alignment horizontal="right"/>
    </xf>
    <xf numFmtId="1" fontId="11" fillId="6" borderId="37" xfId="3" applyNumberFormat="1" applyFont="1" applyFill="1" applyBorder="1" applyAlignment="1">
      <alignment horizontal="center"/>
    </xf>
    <xf numFmtId="171" fontId="11" fillId="6" borderId="38" xfId="3" applyNumberFormat="1" applyFont="1" applyFill="1" applyBorder="1" applyAlignment="1">
      <alignment horizontal="center"/>
    </xf>
    <xf numFmtId="171" fontId="11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0" fillId="2" borderId="40" xfId="3" applyFont="1" applyFill="1" applyBorder="1" applyAlignment="1">
      <alignment horizontal="right"/>
    </xf>
    <xf numFmtId="0" fontId="12" fillId="3" borderId="16" xfId="3" applyFont="1" applyFill="1" applyBorder="1" applyAlignment="1" applyProtection="1">
      <alignment horizontal="center"/>
      <protection locked="0"/>
    </xf>
    <xf numFmtId="0" fontId="10" fillId="2" borderId="11" xfId="3" applyFont="1" applyFill="1" applyBorder="1" applyAlignment="1">
      <alignment horizontal="right"/>
    </xf>
    <xf numFmtId="2" fontId="10" fillId="6" borderId="41" xfId="3" applyNumberFormat="1" applyFont="1" applyFill="1" applyBorder="1" applyAlignment="1">
      <alignment horizontal="center"/>
    </xf>
    <xf numFmtId="0" fontId="10" fillId="2" borderId="0" xfId="3" applyFont="1" applyFill="1" applyAlignment="1">
      <alignment horizontal="center"/>
    </xf>
    <xf numFmtId="2" fontId="10" fillId="7" borderId="41" xfId="3" applyNumberFormat="1" applyFont="1" applyFill="1" applyBorder="1" applyAlignment="1">
      <alignment horizontal="center"/>
    </xf>
    <xf numFmtId="2" fontId="10" fillId="2" borderId="0" xfId="3" applyNumberFormat="1" applyFont="1" applyFill="1" applyAlignment="1">
      <alignment horizontal="center"/>
    </xf>
    <xf numFmtId="0" fontId="18" fillId="2" borderId="21" xfId="3" applyFont="1" applyFill="1" applyBorder="1" applyAlignment="1">
      <alignment horizontal="left" vertical="center" wrapText="1"/>
    </xf>
    <xf numFmtId="0" fontId="18" fillId="2" borderId="22" xfId="3" applyFont="1" applyFill="1" applyBorder="1" applyAlignment="1">
      <alignment horizontal="left" vertical="center" wrapText="1"/>
    </xf>
    <xf numFmtId="166" fontId="10" fillId="6" borderId="41" xfId="3" applyNumberFormat="1" applyFont="1" applyFill="1" applyBorder="1" applyAlignment="1">
      <alignment horizontal="center"/>
    </xf>
    <xf numFmtId="166" fontId="10" fillId="2" borderId="0" xfId="3" applyNumberFormat="1" applyFont="1" applyFill="1" applyAlignment="1">
      <alignment horizontal="center"/>
    </xf>
    <xf numFmtId="166" fontId="10" fillId="6" borderId="17" xfId="3" applyNumberFormat="1" applyFont="1" applyFill="1" applyBorder="1" applyAlignment="1">
      <alignment horizontal="center"/>
    </xf>
    <xf numFmtId="0" fontId="18" fillId="2" borderId="43" xfId="3" applyFont="1" applyFill="1" applyBorder="1" applyAlignment="1">
      <alignment horizontal="left" vertical="center" wrapText="1"/>
    </xf>
    <xf numFmtId="0" fontId="18" fillId="2" borderId="44" xfId="3" applyFont="1" applyFill="1" applyBorder="1" applyAlignment="1">
      <alignment horizontal="left" vertical="center" wrapText="1"/>
    </xf>
    <xf numFmtId="0" fontId="10" fillId="2" borderId="42" xfId="3" applyFont="1" applyFill="1" applyBorder="1" applyAlignment="1">
      <alignment horizontal="right"/>
    </xf>
    <xf numFmtId="166" fontId="12" fillId="3" borderId="41" xfId="3" applyNumberFormat="1" applyFont="1" applyFill="1" applyBorder="1" applyAlignment="1" applyProtection="1">
      <alignment horizontal="center"/>
      <protection locked="0"/>
    </xf>
    <xf numFmtId="166" fontId="10" fillId="2" borderId="0" xfId="3" applyNumberFormat="1" applyFont="1" applyFill="1"/>
    <xf numFmtId="0" fontId="10" fillId="2" borderId="29" xfId="3" applyFont="1" applyFill="1" applyBorder="1" applyAlignment="1">
      <alignment horizontal="right"/>
    </xf>
    <xf numFmtId="1" fontId="10" fillId="2" borderId="0" xfId="3" applyNumberFormat="1" applyFont="1" applyFill="1" applyAlignment="1">
      <alignment horizontal="center"/>
    </xf>
    <xf numFmtId="0" fontId="10" fillId="2" borderId="15" xfId="3" applyFont="1" applyFill="1" applyBorder="1" applyAlignment="1">
      <alignment horizontal="right"/>
    </xf>
    <xf numFmtId="2" fontId="10" fillId="6" borderId="15" xfId="3" applyNumberFormat="1" applyFont="1" applyFill="1" applyBorder="1" applyAlignment="1">
      <alignment horizontal="center"/>
    </xf>
    <xf numFmtId="171" fontId="11" fillId="7" borderId="13" xfId="3" applyNumberFormat="1" applyFont="1" applyFill="1" applyBorder="1" applyAlignment="1">
      <alignment horizontal="center"/>
    </xf>
    <xf numFmtId="171" fontId="10" fillId="2" borderId="0" xfId="3" applyNumberFormat="1" applyFont="1" applyFill="1" applyAlignment="1">
      <alignment horizontal="center"/>
    </xf>
    <xf numFmtId="10" fontId="10" fillId="6" borderId="41" xfId="3" applyNumberFormat="1" applyFont="1" applyFill="1" applyBorder="1" applyAlignment="1">
      <alignment horizontal="center"/>
    </xf>
    <xf numFmtId="0" fontId="10" fillId="2" borderId="43" xfId="3" applyFont="1" applyFill="1" applyBorder="1" applyAlignment="1">
      <alignment horizontal="right"/>
    </xf>
    <xf numFmtId="0" fontId="10" fillId="7" borderId="15" xfId="3" applyFont="1" applyFill="1" applyBorder="1" applyAlignment="1">
      <alignment horizontal="center"/>
    </xf>
    <xf numFmtId="0" fontId="3" fillId="2" borderId="0" xfId="3" applyFont="1" applyFill="1"/>
    <xf numFmtId="0" fontId="11" fillId="2" borderId="0" xfId="3" applyFont="1" applyFill="1" applyAlignment="1">
      <alignment horizontal="left"/>
    </xf>
    <xf numFmtId="0" fontId="10" fillId="2" borderId="0" xfId="3" applyFont="1" applyFill="1" applyAlignment="1">
      <alignment horizontal="left"/>
    </xf>
    <xf numFmtId="172" fontId="12" fillId="3" borderId="0" xfId="3" applyNumberFormat="1" applyFont="1" applyFill="1" applyAlignment="1" applyProtection="1">
      <alignment horizontal="center"/>
      <protection locked="0"/>
    </xf>
    <xf numFmtId="166" fontId="11" fillId="2" borderId="0" xfId="3" applyNumberFormat="1" applyFont="1" applyFill="1" applyAlignment="1" applyProtection="1">
      <alignment horizontal="center"/>
      <protection locked="0"/>
    </xf>
    <xf numFmtId="2" fontId="11" fillId="2" borderId="13" xfId="3" applyNumberFormat="1" applyFont="1" applyFill="1" applyBorder="1" applyAlignment="1">
      <alignment horizontal="center"/>
    </xf>
    <xf numFmtId="0" fontId="11" fillId="2" borderId="13" xfId="3" applyFont="1" applyFill="1" applyBorder="1" applyAlignment="1">
      <alignment horizontal="center"/>
    </xf>
    <xf numFmtId="0" fontId="11" fillId="2" borderId="10" xfId="3" applyFont="1" applyFill="1" applyBorder="1" applyAlignment="1">
      <alignment horizontal="center" vertical="center"/>
    </xf>
    <xf numFmtId="2" fontId="12" fillId="3" borderId="13" xfId="3" applyNumberFormat="1" applyFont="1" applyFill="1" applyBorder="1" applyAlignment="1" applyProtection="1">
      <alignment horizontal="center" vertical="center"/>
      <protection locked="0"/>
    </xf>
    <xf numFmtId="0" fontId="10" fillId="2" borderId="13" xfId="3" applyFont="1" applyFill="1" applyBorder="1" applyAlignment="1">
      <alignment horizontal="center"/>
    </xf>
    <xf numFmtId="0" fontId="12" fillId="3" borderId="21" xfId="3" applyFont="1" applyFill="1" applyBorder="1" applyAlignment="1" applyProtection="1">
      <alignment horizontal="center"/>
      <protection locked="0"/>
    </xf>
    <xf numFmtId="166" fontId="10" fillId="2" borderId="21" xfId="3" applyNumberFormat="1" applyFont="1" applyFill="1" applyBorder="1" applyAlignment="1">
      <alignment horizontal="center"/>
    </xf>
    <xf numFmtId="173" fontId="10" fillId="2" borderId="13" xfId="3" applyNumberFormat="1" applyFont="1" applyFill="1" applyBorder="1" applyAlignment="1">
      <alignment horizontal="center" vertical="center"/>
    </xf>
    <xf numFmtId="0" fontId="11" fillId="2" borderId="0" xfId="3" applyFont="1" applyFill="1" applyAlignment="1">
      <alignment horizontal="center" vertical="center"/>
    </xf>
    <xf numFmtId="2" fontId="12" fillId="3" borderId="14" xfId="3" applyNumberFormat="1" applyFont="1" applyFill="1" applyBorder="1" applyAlignment="1" applyProtection="1">
      <alignment horizontal="center" vertical="center"/>
      <protection locked="0"/>
    </xf>
    <xf numFmtId="0" fontId="10" fillId="2" borderId="14" xfId="3" applyFont="1" applyFill="1" applyBorder="1" applyAlignment="1">
      <alignment horizontal="center"/>
    </xf>
    <xf numFmtId="166" fontId="10" fillId="2" borderId="23" xfId="3" applyNumberFormat="1" applyFont="1" applyFill="1" applyBorder="1" applyAlignment="1">
      <alignment horizontal="center"/>
    </xf>
    <xf numFmtId="173" fontId="10" fillId="2" borderId="14" xfId="3" applyNumberFormat="1" applyFont="1" applyFill="1" applyBorder="1" applyAlignment="1">
      <alignment horizontal="center" vertical="center"/>
    </xf>
    <xf numFmtId="1" fontId="12" fillId="3" borderId="23" xfId="3" applyNumberFormat="1" applyFont="1" applyFill="1" applyBorder="1" applyAlignment="1" applyProtection="1">
      <alignment horizontal="center"/>
      <protection locked="0"/>
    </xf>
    <xf numFmtId="0" fontId="11" fillId="2" borderId="9" xfId="3" applyFont="1" applyFill="1" applyBorder="1" applyAlignment="1">
      <alignment horizontal="center" vertical="center"/>
    </xf>
    <xf numFmtId="2" fontId="12" fillId="3" borderId="15" xfId="3" applyNumberFormat="1" applyFont="1" applyFill="1" applyBorder="1" applyAlignment="1" applyProtection="1">
      <alignment horizontal="center" vertical="center"/>
      <protection locked="0"/>
    </xf>
    <xf numFmtId="0" fontId="10" fillId="2" borderId="15" xfId="3" applyFont="1" applyFill="1" applyBorder="1" applyAlignment="1">
      <alignment horizontal="center"/>
    </xf>
    <xf numFmtId="0" fontId="12" fillId="3" borderId="43" xfId="3" applyFont="1" applyFill="1" applyBorder="1" applyAlignment="1" applyProtection="1">
      <alignment horizontal="center"/>
      <protection locked="0"/>
    </xf>
    <xf numFmtId="166" fontId="10" fillId="2" borderId="43" xfId="3" applyNumberFormat="1" applyFont="1" applyFill="1" applyBorder="1" applyAlignment="1">
      <alignment horizontal="center"/>
    </xf>
    <xf numFmtId="173" fontId="10" fillId="2" borderId="15" xfId="3" applyNumberFormat="1" applyFont="1" applyFill="1" applyBorder="1" applyAlignment="1">
      <alignment horizontal="center" vertical="center"/>
    </xf>
    <xf numFmtId="0" fontId="13" fillId="2" borderId="24" xfId="3" applyFont="1" applyFill="1" applyBorder="1" applyAlignment="1">
      <alignment horizontal="center"/>
    </xf>
    <xf numFmtId="2" fontId="13" fillId="2" borderId="44" xfId="3" applyNumberFormat="1" applyFont="1" applyFill="1" applyBorder="1" applyAlignment="1">
      <alignment horizontal="center"/>
    </xf>
    <xf numFmtId="0" fontId="18" fillId="2" borderId="21" xfId="3" applyFont="1" applyFill="1" applyBorder="1" applyAlignment="1">
      <alignment horizontal="center" vertical="center" wrapText="1"/>
    </xf>
    <xf numFmtId="0" fontId="18" fillId="2" borderId="22" xfId="3" applyFont="1" applyFill="1" applyBorder="1" applyAlignment="1">
      <alignment horizontal="center" vertical="center" wrapText="1"/>
    </xf>
    <xf numFmtId="0" fontId="18" fillId="2" borderId="43" xfId="3" applyFont="1" applyFill="1" applyBorder="1" applyAlignment="1">
      <alignment horizontal="center" vertical="center" wrapText="1"/>
    </xf>
    <xf numFmtId="0" fontId="18" fillId="2" borderId="44" xfId="3" applyFont="1" applyFill="1" applyBorder="1" applyAlignment="1">
      <alignment horizontal="center" vertical="center" wrapText="1"/>
    </xf>
    <xf numFmtId="0" fontId="11" fillId="2" borderId="43" xfId="3" applyFont="1" applyFill="1" applyBorder="1" applyAlignment="1">
      <alignment horizontal="center" vertical="center"/>
    </xf>
    <xf numFmtId="0" fontId="10" fillId="2" borderId="45" xfId="3" applyFont="1" applyFill="1" applyBorder="1" applyAlignment="1">
      <alignment horizontal="right"/>
    </xf>
    <xf numFmtId="2" fontId="12" fillId="7" borderId="33" xfId="3" applyNumberFormat="1" applyFont="1" applyFill="1" applyBorder="1" applyAlignment="1">
      <alignment horizontal="center"/>
    </xf>
    <xf numFmtId="173" fontId="12" fillId="7" borderId="33" xfId="3" applyNumberFormat="1" applyFont="1" applyFill="1" applyBorder="1" applyAlignment="1">
      <alignment horizontal="center"/>
    </xf>
    <xf numFmtId="0" fontId="10" fillId="2" borderId="41" xfId="3" applyFont="1" applyFill="1" applyBorder="1" applyAlignment="1">
      <alignment horizontal="right"/>
    </xf>
    <xf numFmtId="10" fontId="12" fillId="6" borderId="54" xfId="3" applyNumberFormat="1" applyFont="1" applyFill="1" applyBorder="1" applyAlignment="1">
      <alignment horizontal="center"/>
    </xf>
    <xf numFmtId="0" fontId="10" fillId="2" borderId="17" xfId="3" applyFont="1" applyFill="1" applyBorder="1" applyAlignment="1">
      <alignment horizontal="right"/>
    </xf>
    <xf numFmtId="0" fontId="12" fillId="7" borderId="46" xfId="3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174" fontId="12" fillId="2" borderId="0" xfId="3" applyNumberFormat="1" applyFont="1" applyFill="1" applyAlignment="1">
      <alignment horizontal="center"/>
    </xf>
    <xf numFmtId="0" fontId="12" fillId="3" borderId="0" xfId="3" applyFont="1" applyFill="1" applyAlignment="1" applyProtection="1">
      <alignment horizontal="left"/>
      <protection locked="0"/>
    </xf>
    <xf numFmtId="0" fontId="11" fillId="2" borderId="47" xfId="3" applyFont="1" applyFill="1" applyBorder="1" applyAlignment="1">
      <alignment horizontal="center"/>
    </xf>
    <xf numFmtId="0" fontId="11" fillId="2" borderId="40" xfId="3" applyFont="1" applyFill="1" applyBorder="1" applyAlignment="1">
      <alignment horizontal="center"/>
    </xf>
    <xf numFmtId="0" fontId="11" fillId="2" borderId="10" xfId="3" applyFont="1" applyFill="1" applyBorder="1" applyAlignment="1">
      <alignment horizontal="center"/>
    </xf>
    <xf numFmtId="0" fontId="11" fillId="2" borderId="30" xfId="3" applyFont="1" applyFill="1" applyBorder="1" applyAlignment="1">
      <alignment horizontal="center"/>
    </xf>
    <xf numFmtId="0" fontId="10" fillId="2" borderId="48" xfId="3" applyFont="1" applyFill="1" applyBorder="1" applyAlignment="1">
      <alignment horizontal="center"/>
    </xf>
    <xf numFmtId="0" fontId="10" fillId="2" borderId="7" xfId="3" applyFont="1" applyFill="1" applyBorder="1" applyAlignment="1">
      <alignment horizontal="center"/>
    </xf>
    <xf numFmtId="171" fontId="12" fillId="3" borderId="34" xfId="3" applyNumberFormat="1" applyFont="1" applyFill="1" applyBorder="1" applyAlignment="1" applyProtection="1">
      <alignment horizontal="center"/>
      <protection locked="0"/>
    </xf>
    <xf numFmtId="1" fontId="11" fillId="6" borderId="49" xfId="3" applyNumberFormat="1" applyFont="1" applyFill="1" applyBorder="1" applyAlignment="1">
      <alignment horizontal="center"/>
    </xf>
    <xf numFmtId="1" fontId="11" fillId="6" borderId="50" xfId="3" applyNumberFormat="1" applyFont="1" applyFill="1" applyBorder="1" applyAlignment="1">
      <alignment horizontal="center"/>
    </xf>
    <xf numFmtId="171" fontId="11" fillId="6" borderId="15" xfId="3" applyNumberFormat="1" applyFont="1" applyFill="1" applyBorder="1" applyAlignment="1">
      <alignment horizontal="center"/>
    </xf>
    <xf numFmtId="0" fontId="10" fillId="2" borderId="51" xfId="3" applyFont="1" applyFill="1" applyBorder="1" applyAlignment="1">
      <alignment horizontal="right"/>
    </xf>
    <xf numFmtId="0" fontId="12" fillId="3" borderId="52" xfId="3" applyFont="1" applyFill="1" applyBorder="1" applyAlignment="1" applyProtection="1">
      <alignment horizontal="center"/>
      <protection locked="0"/>
    </xf>
    <xf numFmtId="0" fontId="10" fillId="2" borderId="25" xfId="3" applyFont="1" applyFill="1" applyBorder="1" applyAlignment="1">
      <alignment horizontal="right"/>
    </xf>
    <xf numFmtId="2" fontId="10" fillId="6" borderId="27" xfId="3" applyNumberFormat="1" applyFont="1" applyFill="1" applyBorder="1" applyAlignment="1">
      <alignment horizontal="center"/>
    </xf>
    <xf numFmtId="2" fontId="10" fillId="7" borderId="27" xfId="3" applyNumberFormat="1" applyFont="1" applyFill="1" applyBorder="1" applyAlignment="1">
      <alignment horizontal="center"/>
    </xf>
    <xf numFmtId="0" fontId="18" fillId="2" borderId="10" xfId="3" applyFont="1" applyFill="1" applyBorder="1" applyAlignment="1">
      <alignment horizontal="left" vertical="center" wrapText="1"/>
    </xf>
    <xf numFmtId="166" fontId="10" fillId="6" borderId="27" xfId="3" applyNumberFormat="1" applyFont="1" applyFill="1" applyBorder="1" applyAlignment="1">
      <alignment horizontal="center"/>
    </xf>
    <xf numFmtId="0" fontId="18" fillId="2" borderId="9" xfId="3" applyFont="1" applyFill="1" applyBorder="1" applyAlignment="1">
      <alignment horizontal="left" vertical="center" wrapText="1"/>
    </xf>
    <xf numFmtId="166" fontId="10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0" fillId="2" borderId="53" xfId="3" applyFont="1" applyFill="1" applyBorder="1" applyAlignment="1">
      <alignment horizontal="right"/>
    </xf>
    <xf numFmtId="2" fontId="10" fillId="7" borderId="30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 wrapText="1"/>
    </xf>
    <xf numFmtId="0" fontId="10" fillId="2" borderId="16" xfId="3" applyFont="1" applyFill="1" applyBorder="1" applyAlignment="1">
      <alignment horizontal="right"/>
    </xf>
    <xf numFmtId="171" fontId="11" fillId="7" borderId="16" xfId="3" applyNumberFormat="1" applyFont="1" applyFill="1" applyBorder="1" applyAlignment="1">
      <alignment horizontal="center"/>
    </xf>
    <xf numFmtId="10" fontId="10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7" borderId="17" xfId="3" applyFont="1" applyFill="1" applyBorder="1" applyAlignment="1">
      <alignment horizontal="center"/>
    </xf>
    <xf numFmtId="0" fontId="11" fillId="2" borderId="22" xfId="3" applyFont="1" applyFill="1" applyBorder="1" applyAlignment="1">
      <alignment horizontal="center" wrapText="1"/>
    </xf>
    <xf numFmtId="1" fontId="12" fillId="3" borderId="13" xfId="3" applyNumberFormat="1" applyFont="1" applyFill="1" applyBorder="1" applyAlignment="1" applyProtection="1">
      <alignment horizontal="center"/>
      <protection locked="0"/>
    </xf>
    <xf numFmtId="166" fontId="10" fillId="2" borderId="13" xfId="3" applyNumberFormat="1" applyFont="1" applyFill="1" applyBorder="1" applyAlignment="1">
      <alignment horizontal="center"/>
    </xf>
    <xf numFmtId="173" fontId="10" fillId="2" borderId="22" xfId="3" applyNumberFormat="1" applyFont="1" applyFill="1" applyBorder="1" applyAlignment="1">
      <alignment horizontal="center"/>
    </xf>
    <xf numFmtId="1" fontId="12" fillId="3" borderId="14" xfId="3" applyNumberFormat="1" applyFont="1" applyFill="1" applyBorder="1" applyAlignment="1" applyProtection="1">
      <alignment horizontal="center"/>
      <protection locked="0"/>
    </xf>
    <xf numFmtId="166" fontId="10" fillId="2" borderId="14" xfId="3" applyNumberFormat="1" applyFont="1" applyFill="1" applyBorder="1" applyAlignment="1">
      <alignment horizontal="center"/>
    </xf>
    <xf numFmtId="173" fontId="10" fillId="2" borderId="24" xfId="3" applyNumberFormat="1" applyFont="1" applyFill="1" applyBorder="1" applyAlignment="1">
      <alignment horizontal="center"/>
    </xf>
    <xf numFmtId="1" fontId="12" fillId="3" borderId="15" xfId="3" applyNumberFormat="1" applyFont="1" applyFill="1" applyBorder="1" applyAlignment="1" applyProtection="1">
      <alignment horizontal="center"/>
      <protection locked="0"/>
    </xf>
    <xf numFmtId="166" fontId="10" fillId="2" borderId="15" xfId="3" applyNumberFormat="1" applyFont="1" applyFill="1" applyBorder="1" applyAlignment="1">
      <alignment horizontal="center"/>
    </xf>
    <xf numFmtId="173" fontId="10" fillId="2" borderId="44" xfId="3" applyNumberFormat="1" applyFont="1" applyFill="1" applyBorder="1" applyAlignment="1">
      <alignment horizontal="center"/>
    </xf>
    <xf numFmtId="0" fontId="10" fillId="2" borderId="23" xfId="3" applyFont="1" applyFill="1" applyBorder="1" applyAlignment="1">
      <alignment horizontal="center"/>
    </xf>
    <xf numFmtId="171" fontId="10" fillId="2" borderId="16" xfId="3" applyNumberFormat="1" applyFont="1" applyFill="1" applyBorder="1" applyAlignment="1">
      <alignment horizontal="right"/>
    </xf>
    <xf numFmtId="2" fontId="12" fillId="7" borderId="55" xfId="3" applyNumberFormat="1" applyFont="1" applyFill="1" applyBorder="1" applyAlignment="1">
      <alignment horizontal="center"/>
    </xf>
    <xf numFmtId="174" fontId="12" fillId="7" borderId="52" xfId="3" applyNumberFormat="1" applyFont="1" applyFill="1" applyBorder="1" applyAlignment="1">
      <alignment horizontal="center"/>
    </xf>
    <xf numFmtId="0" fontId="10" fillId="2" borderId="23" xfId="3" applyFont="1" applyFill="1" applyBorder="1"/>
    <xf numFmtId="0" fontId="10" fillId="2" borderId="14" xfId="3" applyFont="1" applyFill="1" applyBorder="1" applyAlignment="1">
      <alignment horizontal="right"/>
    </xf>
    <xf numFmtId="10" fontId="12" fillId="6" borderId="27" xfId="3" applyNumberFormat="1" applyFont="1" applyFill="1" applyBorder="1" applyAlignment="1">
      <alignment horizontal="center"/>
    </xf>
    <xf numFmtId="0" fontId="10" fillId="2" borderId="43" xfId="3" applyFont="1" applyFill="1" applyBorder="1"/>
    <xf numFmtId="0" fontId="12" fillId="7" borderId="28" xfId="3" applyFont="1" applyFill="1" applyBorder="1" applyAlignment="1">
      <alignment horizontal="center"/>
    </xf>
    <xf numFmtId="0" fontId="12" fillId="7" borderId="56" xfId="3" applyFont="1" applyFill="1" applyBorder="1" applyAlignment="1">
      <alignment horizontal="center"/>
    </xf>
    <xf numFmtId="0" fontId="10" fillId="2" borderId="13" xfId="3" applyFont="1" applyFill="1" applyBorder="1"/>
    <xf numFmtId="0" fontId="11" fillId="2" borderId="47" xfId="3" applyFont="1" applyFill="1" applyBorder="1" applyAlignment="1">
      <alignment horizontal="center" vertical="center"/>
    </xf>
    <xf numFmtId="0" fontId="11" fillId="2" borderId="55" xfId="3" applyFont="1" applyFill="1" applyBorder="1" applyAlignment="1">
      <alignment horizontal="center" vertical="center"/>
    </xf>
    <xf numFmtId="0" fontId="18" fillId="2" borderId="0" xfId="3" applyFont="1" applyFill="1" applyAlignment="1">
      <alignment horizontal="right" vertical="center" wrapText="1"/>
    </xf>
    <xf numFmtId="2" fontId="12" fillId="6" borderId="54" xfId="3" applyNumberFormat="1" applyFont="1" applyFill="1" applyBorder="1" applyAlignment="1">
      <alignment horizontal="center"/>
    </xf>
    <xf numFmtId="174" fontId="12" fillId="6" borderId="54" xfId="3" applyNumberFormat="1" applyFont="1" applyFill="1" applyBorder="1" applyAlignment="1">
      <alignment horizontal="center"/>
    </xf>
    <xf numFmtId="2" fontId="12" fillId="7" borderId="46" xfId="3" applyNumberFormat="1" applyFont="1" applyFill="1" applyBorder="1" applyAlignment="1">
      <alignment horizontal="center"/>
    </xf>
    <xf numFmtId="174" fontId="12" fillId="7" borderId="46" xfId="3" applyNumberFormat="1" applyFont="1" applyFill="1" applyBorder="1" applyAlignment="1">
      <alignment horizontal="center"/>
    </xf>
    <xf numFmtId="175" fontId="19" fillId="2" borderId="0" xfId="3" applyNumberFormat="1" applyFont="1" applyFill="1" applyAlignment="1">
      <alignment horizontal="center"/>
    </xf>
    <xf numFmtId="165" fontId="12" fillId="2" borderId="0" xfId="3" applyNumberFormat="1" applyFont="1" applyFill="1" applyAlignment="1">
      <alignment horizontal="center"/>
    </xf>
    <xf numFmtId="0" fontId="18" fillId="2" borderId="9" xfId="3" applyFont="1" applyFill="1" applyBorder="1" applyAlignment="1">
      <alignment horizontal="left" vertical="center" wrapText="1"/>
    </xf>
    <xf numFmtId="0" fontId="10" fillId="2" borderId="9" xfId="3" applyFont="1" applyFill="1" applyBorder="1"/>
    <xf numFmtId="0" fontId="11" fillId="2" borderId="10" xfId="3" applyFont="1" applyFill="1" applyBorder="1" applyAlignment="1">
      <alignment horizontal="center"/>
    </xf>
    <xf numFmtId="0" fontId="10" fillId="2" borderId="10" xfId="3" applyFont="1" applyFill="1" applyBorder="1" applyAlignment="1">
      <alignment horizontal="center"/>
    </xf>
    <xf numFmtId="0" fontId="10" fillId="2" borderId="7" xfId="3" applyFont="1" applyFill="1" applyBorder="1"/>
    <xf numFmtId="0" fontId="11" fillId="2" borderId="11" xfId="3" applyFont="1" applyFill="1" applyBorder="1"/>
    <xf numFmtId="0" fontId="10" fillId="2" borderId="11" xfId="3" applyFont="1" applyFill="1" applyBorder="1"/>
    <xf numFmtId="14" fontId="27" fillId="2" borderId="7" xfId="1" applyNumberFormat="1" applyFont="1" applyFill="1" applyBorder="1"/>
  </cellXfs>
  <cellStyles count="8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9" zoomScale="70" zoomScaleNormal="70" workbookViewId="0">
      <selection activeCell="B57" sqref="B57"/>
    </sheetView>
  </sheetViews>
  <sheetFormatPr defaultRowHeight="13.5" x14ac:dyDescent="0.25"/>
  <cols>
    <col min="1" max="1" width="27.5703125" style="57" customWidth="1"/>
    <col min="2" max="2" width="20.42578125" style="57" customWidth="1"/>
    <col min="3" max="3" width="31.85546875" style="57" customWidth="1"/>
    <col min="4" max="4" width="25.85546875" style="57" customWidth="1"/>
    <col min="5" max="5" width="25.7109375" style="57" customWidth="1"/>
    <col min="6" max="6" width="23.140625" style="57" customWidth="1"/>
    <col min="7" max="7" width="28.42578125" style="57" customWidth="1"/>
    <col min="8" max="8" width="21.5703125" style="57" customWidth="1"/>
    <col min="9" max="9" width="9.140625" style="57" customWidth="1"/>
    <col min="10" max="16384" width="9.140625" style="107"/>
  </cols>
  <sheetData>
    <row r="14" spans="1:6" ht="15" customHeight="1" x14ac:dyDescent="0.3">
      <c r="A14" s="56"/>
      <c r="C14" s="58"/>
      <c r="F14" s="58"/>
    </row>
    <row r="15" spans="1:6" ht="18.75" customHeight="1" x14ac:dyDescent="0.3">
      <c r="A15" s="59" t="s">
        <v>0</v>
      </c>
      <c r="B15" s="59"/>
      <c r="C15" s="59"/>
      <c r="D15" s="59"/>
      <c r="E15" s="59"/>
    </row>
    <row r="16" spans="1:6" ht="16.5" customHeight="1" x14ac:dyDescent="0.3">
      <c r="A16" s="60" t="s">
        <v>1</v>
      </c>
      <c r="B16" s="61" t="s">
        <v>2</v>
      </c>
    </row>
    <row r="17" spans="1:6" ht="16.5" customHeight="1" x14ac:dyDescent="0.3">
      <c r="A17" s="62" t="s">
        <v>3</v>
      </c>
      <c r="B17" s="62" t="s">
        <v>128</v>
      </c>
      <c r="C17" s="63"/>
      <c r="D17" s="64"/>
      <c r="E17" s="63"/>
    </row>
    <row r="18" spans="1:6" ht="16.5" customHeight="1" x14ac:dyDescent="0.3">
      <c r="A18" s="65" t="s">
        <v>4</v>
      </c>
      <c r="B18" s="66" t="s">
        <v>129</v>
      </c>
      <c r="C18" s="63"/>
      <c r="D18" s="63"/>
      <c r="E18" s="63"/>
    </row>
    <row r="19" spans="1:6" ht="16.5" customHeight="1" x14ac:dyDescent="0.3">
      <c r="A19" s="65" t="s">
        <v>6</v>
      </c>
      <c r="B19" s="66">
        <v>99.75</v>
      </c>
      <c r="C19" s="63"/>
      <c r="D19" s="63"/>
      <c r="E19" s="63"/>
    </row>
    <row r="20" spans="1:6" ht="16.5" customHeight="1" x14ac:dyDescent="0.3">
      <c r="A20" s="62" t="s">
        <v>8</v>
      </c>
      <c r="B20" s="66">
        <v>25.04</v>
      </c>
      <c r="C20" s="63"/>
      <c r="D20" s="63"/>
      <c r="E20" s="63"/>
    </row>
    <row r="21" spans="1:6" ht="16.5" customHeight="1" x14ac:dyDescent="0.3">
      <c r="A21" s="62" t="s">
        <v>10</v>
      </c>
      <c r="B21" s="67">
        <f>B20/25*4/100</f>
        <v>4.0064000000000002E-2</v>
      </c>
      <c r="C21" s="63"/>
      <c r="D21" s="63"/>
      <c r="E21" s="63"/>
    </row>
    <row r="22" spans="1:6" ht="15.75" customHeight="1" x14ac:dyDescent="0.25">
      <c r="A22" s="63"/>
      <c r="B22" s="63" t="s">
        <v>130</v>
      </c>
      <c r="C22" s="63"/>
      <c r="D22" s="63"/>
      <c r="E22" s="63"/>
    </row>
    <row r="23" spans="1:6" ht="16.5" customHeight="1" x14ac:dyDescent="0.3">
      <c r="A23" s="68" t="s">
        <v>13</v>
      </c>
      <c r="B23" s="69" t="s">
        <v>14</v>
      </c>
      <c r="C23" s="68" t="s">
        <v>15</v>
      </c>
      <c r="D23" s="68" t="s">
        <v>16</v>
      </c>
      <c r="E23" s="68" t="s">
        <v>17</v>
      </c>
      <c r="F23" s="70" t="s">
        <v>131</v>
      </c>
    </row>
    <row r="24" spans="1:6" ht="16.5" customHeight="1" x14ac:dyDescent="0.3">
      <c r="A24" s="71">
        <v>1</v>
      </c>
      <c r="B24" s="72">
        <v>3512570</v>
      </c>
      <c r="C24" s="72">
        <v>8626.5</v>
      </c>
      <c r="D24" s="73">
        <v>1.1000000000000001</v>
      </c>
      <c r="E24" s="74">
        <v>5.4</v>
      </c>
      <c r="F24" s="75">
        <v>1</v>
      </c>
    </row>
    <row r="25" spans="1:6" ht="16.5" customHeight="1" x14ac:dyDescent="0.3">
      <c r="A25" s="71">
        <v>2</v>
      </c>
      <c r="B25" s="72">
        <v>3524571</v>
      </c>
      <c r="C25" s="72">
        <v>8600</v>
      </c>
      <c r="D25" s="73">
        <v>1.1000000000000001</v>
      </c>
      <c r="E25" s="73">
        <v>5.4</v>
      </c>
      <c r="F25" s="75">
        <v>1</v>
      </c>
    </row>
    <row r="26" spans="1:6" ht="16.5" customHeight="1" x14ac:dyDescent="0.3">
      <c r="A26" s="71">
        <v>3</v>
      </c>
      <c r="B26" s="72">
        <v>3507041</v>
      </c>
      <c r="C26" s="72">
        <v>8618.1</v>
      </c>
      <c r="D26" s="73">
        <v>1.1000000000000001</v>
      </c>
      <c r="E26" s="73">
        <v>5.4</v>
      </c>
      <c r="F26" s="75">
        <v>1</v>
      </c>
    </row>
    <row r="27" spans="1:6" ht="16.5" customHeight="1" x14ac:dyDescent="0.3">
      <c r="A27" s="71">
        <v>4</v>
      </c>
      <c r="B27" s="72">
        <v>3511646</v>
      </c>
      <c r="C27" s="72">
        <v>8587.7999999999993</v>
      </c>
      <c r="D27" s="73">
        <v>1.1000000000000001</v>
      </c>
      <c r="E27" s="73">
        <v>5.4</v>
      </c>
      <c r="F27" s="75">
        <v>1</v>
      </c>
    </row>
    <row r="28" spans="1:6" ht="16.5" customHeight="1" x14ac:dyDescent="0.3">
      <c r="A28" s="71">
        <v>5</v>
      </c>
      <c r="B28" s="72">
        <v>3507075</v>
      </c>
      <c r="C28" s="72">
        <v>8516.9</v>
      </c>
      <c r="D28" s="73">
        <v>1.1000000000000001</v>
      </c>
      <c r="E28" s="73">
        <v>5.4</v>
      </c>
      <c r="F28" s="75">
        <v>1</v>
      </c>
    </row>
    <row r="29" spans="1:6" ht="16.5" customHeight="1" thickBot="1" x14ac:dyDescent="0.35">
      <c r="A29" s="71">
        <v>6</v>
      </c>
      <c r="B29" s="76">
        <v>3508370</v>
      </c>
      <c r="C29" s="76">
        <v>8507.4</v>
      </c>
      <c r="D29" s="77">
        <v>1.1000000000000001</v>
      </c>
      <c r="E29" s="73">
        <v>5.4</v>
      </c>
      <c r="F29" s="75">
        <v>1</v>
      </c>
    </row>
    <row r="30" spans="1:6" ht="16.5" customHeight="1" thickBot="1" x14ac:dyDescent="0.35">
      <c r="A30" s="78" t="s">
        <v>18</v>
      </c>
      <c r="B30" s="79">
        <f>AVERAGE(B24:B29)</f>
        <v>3511878.8333333335</v>
      </c>
      <c r="C30" s="80">
        <f>AVERAGE(C24:C29)</f>
        <v>8576.1166666666668</v>
      </c>
      <c r="D30" s="81">
        <f>AVERAGE(D24:D29)</f>
        <v>1.0999999999999999</v>
      </c>
      <c r="E30" s="82">
        <f>AVERAGE(E24:E29)</f>
        <v>5.3999999999999995</v>
      </c>
      <c r="F30" s="83">
        <f>AVERAGE(F24:F29)</f>
        <v>1</v>
      </c>
    </row>
    <row r="31" spans="1:6" ht="16.5" customHeight="1" x14ac:dyDescent="0.3">
      <c r="A31" s="84" t="s">
        <v>19</v>
      </c>
      <c r="B31" s="85">
        <f>(STDEV(B24:B29)/B30)</f>
        <v>1.8905901984051577E-3</v>
      </c>
      <c r="C31" s="86"/>
      <c r="D31" s="86"/>
      <c r="E31" s="87"/>
    </row>
    <row r="32" spans="1:6" s="57" customFormat="1" ht="16.5" customHeight="1" x14ac:dyDescent="0.3">
      <c r="A32" s="88" t="s">
        <v>20</v>
      </c>
      <c r="B32" s="89">
        <f>COUNT(B24:B29)</f>
        <v>6</v>
      </c>
      <c r="C32" s="90"/>
      <c r="D32" s="91"/>
      <c r="E32" s="92"/>
    </row>
    <row r="33" spans="1:6" s="57" customFormat="1" ht="15.75" customHeight="1" x14ac:dyDescent="0.25">
      <c r="A33" s="63"/>
      <c r="B33" s="63"/>
      <c r="C33" s="63"/>
      <c r="D33" s="63"/>
      <c r="E33" s="63"/>
    </row>
    <row r="34" spans="1:6" s="57" customFormat="1" ht="16.5" customHeight="1" x14ac:dyDescent="0.3">
      <c r="A34" s="65" t="s">
        <v>21</v>
      </c>
      <c r="B34" s="93" t="s">
        <v>132</v>
      </c>
      <c r="C34" s="94"/>
      <c r="D34" s="94"/>
      <c r="E34" s="94"/>
    </row>
    <row r="35" spans="1:6" ht="16.5" customHeight="1" x14ac:dyDescent="0.3">
      <c r="A35" s="65"/>
      <c r="B35" s="93" t="s">
        <v>133</v>
      </c>
      <c r="C35" s="94"/>
      <c r="D35" s="94"/>
      <c r="E35" s="94"/>
    </row>
    <row r="36" spans="1:6" ht="16.5" customHeight="1" x14ac:dyDescent="0.3">
      <c r="A36" s="65"/>
      <c r="B36" s="93" t="s">
        <v>134</v>
      </c>
      <c r="C36" s="94"/>
      <c r="D36" s="94"/>
      <c r="E36" s="94"/>
    </row>
    <row r="37" spans="1:6" ht="15.75" customHeight="1" x14ac:dyDescent="0.25">
      <c r="A37" s="63"/>
      <c r="B37" s="63" t="s">
        <v>135</v>
      </c>
      <c r="C37" s="63"/>
      <c r="D37" s="63"/>
      <c r="E37" s="63"/>
    </row>
    <row r="38" spans="1:6" ht="16.5" customHeight="1" x14ac:dyDescent="0.3">
      <c r="A38" s="60" t="s">
        <v>1</v>
      </c>
      <c r="B38" s="61" t="s">
        <v>22</v>
      </c>
    </row>
    <row r="39" spans="1:6" ht="16.5" customHeight="1" x14ac:dyDescent="0.3">
      <c r="A39" s="65" t="s">
        <v>4</v>
      </c>
      <c r="B39" s="62" t="s">
        <v>129</v>
      </c>
      <c r="C39" s="63"/>
      <c r="D39" s="63"/>
      <c r="E39" s="63"/>
    </row>
    <row r="40" spans="1:6" ht="16.5" customHeight="1" x14ac:dyDescent="0.3">
      <c r="A40" s="65" t="s">
        <v>6</v>
      </c>
      <c r="B40" s="66">
        <v>99.75</v>
      </c>
      <c r="C40" s="63"/>
      <c r="D40" s="63"/>
      <c r="E40" s="63"/>
    </row>
    <row r="41" spans="1:6" ht="16.5" customHeight="1" x14ac:dyDescent="0.3">
      <c r="A41" s="62" t="s">
        <v>8</v>
      </c>
      <c r="B41" s="66">
        <v>25.04</v>
      </c>
      <c r="C41" s="63"/>
      <c r="D41" s="63"/>
      <c r="E41" s="63"/>
    </row>
    <row r="42" spans="1:6" ht="16.5" customHeight="1" x14ac:dyDescent="0.3">
      <c r="A42" s="62" t="s">
        <v>10</v>
      </c>
      <c r="B42" s="67">
        <v>4.0064000000000002E-2</v>
      </c>
      <c r="C42" s="63"/>
      <c r="D42" s="63"/>
      <c r="E42" s="63"/>
    </row>
    <row r="43" spans="1:6" ht="15.75" customHeight="1" thickBot="1" x14ac:dyDescent="0.3">
      <c r="A43" s="63"/>
      <c r="B43" s="63"/>
      <c r="C43" s="63"/>
      <c r="D43" s="63"/>
      <c r="E43" s="63"/>
    </row>
    <row r="44" spans="1:6" ht="16.5" customHeight="1" thickBot="1" x14ac:dyDescent="0.35">
      <c r="A44" s="68" t="s">
        <v>13</v>
      </c>
      <c r="B44" s="69" t="s">
        <v>14</v>
      </c>
      <c r="C44" s="68" t="s">
        <v>15</v>
      </c>
      <c r="D44" s="68" t="s">
        <v>16</v>
      </c>
      <c r="E44" s="69" t="s">
        <v>17</v>
      </c>
      <c r="F44" s="95" t="s">
        <v>131</v>
      </c>
    </row>
    <row r="45" spans="1:6" ht="16.5" customHeight="1" x14ac:dyDescent="0.3">
      <c r="A45" s="71">
        <v>1</v>
      </c>
      <c r="B45" s="72">
        <v>3512570</v>
      </c>
      <c r="C45" s="72">
        <v>8626.5</v>
      </c>
      <c r="D45" s="73">
        <v>1.1000000000000001</v>
      </c>
      <c r="E45" s="96">
        <v>5.4</v>
      </c>
      <c r="F45" s="97">
        <v>1</v>
      </c>
    </row>
    <row r="46" spans="1:6" ht="16.5" customHeight="1" x14ac:dyDescent="0.3">
      <c r="A46" s="71">
        <v>2</v>
      </c>
      <c r="B46" s="72">
        <v>3524571</v>
      </c>
      <c r="C46" s="72">
        <v>8600</v>
      </c>
      <c r="D46" s="73">
        <v>1.1000000000000001</v>
      </c>
      <c r="E46" s="98">
        <v>5.4</v>
      </c>
      <c r="F46" s="99">
        <v>1</v>
      </c>
    </row>
    <row r="47" spans="1:6" ht="16.5" customHeight="1" x14ac:dyDescent="0.3">
      <c r="A47" s="71">
        <v>3</v>
      </c>
      <c r="B47" s="72">
        <v>3507041</v>
      </c>
      <c r="C47" s="72">
        <v>8618.1</v>
      </c>
      <c r="D47" s="73">
        <v>1.1000000000000001</v>
      </c>
      <c r="E47" s="98">
        <v>5.4</v>
      </c>
      <c r="F47" s="99">
        <v>1</v>
      </c>
    </row>
    <row r="48" spans="1:6" ht="16.5" customHeight="1" x14ac:dyDescent="0.3">
      <c r="A48" s="71">
        <v>4</v>
      </c>
      <c r="B48" s="72">
        <v>3511646</v>
      </c>
      <c r="C48" s="72">
        <v>8587.7999999999993</v>
      </c>
      <c r="D48" s="73">
        <v>1.1000000000000001</v>
      </c>
      <c r="E48" s="98">
        <v>5.4</v>
      </c>
      <c r="F48" s="99">
        <v>1</v>
      </c>
    </row>
    <row r="49" spans="1:7" ht="16.5" customHeight="1" x14ac:dyDescent="0.3">
      <c r="A49" s="71">
        <v>5</v>
      </c>
      <c r="B49" s="72">
        <v>3507075</v>
      </c>
      <c r="C49" s="72">
        <v>8516.9</v>
      </c>
      <c r="D49" s="73">
        <v>1.1000000000000001</v>
      </c>
      <c r="E49" s="98">
        <v>5.4</v>
      </c>
      <c r="F49" s="99">
        <v>1</v>
      </c>
    </row>
    <row r="50" spans="1:7" ht="16.5" customHeight="1" thickBot="1" x14ac:dyDescent="0.35">
      <c r="A50" s="71">
        <v>6</v>
      </c>
      <c r="B50" s="76">
        <v>3508370</v>
      </c>
      <c r="C50" s="76">
        <v>8507.4</v>
      </c>
      <c r="D50" s="77">
        <v>1.1000000000000001</v>
      </c>
      <c r="E50" s="100">
        <v>5.4</v>
      </c>
      <c r="F50" s="101">
        <v>1</v>
      </c>
    </row>
    <row r="51" spans="1:7" ht="16.5" customHeight="1" x14ac:dyDescent="0.3">
      <c r="A51" s="78" t="s">
        <v>18</v>
      </c>
      <c r="B51" s="79">
        <v>2756934.5</v>
      </c>
      <c r="C51" s="80">
        <v>6177.6166666666659</v>
      </c>
      <c r="D51" s="102">
        <v>1.2</v>
      </c>
      <c r="E51" s="102">
        <v>5.3</v>
      </c>
      <c r="F51" s="103">
        <v>1</v>
      </c>
    </row>
    <row r="52" spans="1:7" ht="16.5" customHeight="1" x14ac:dyDescent="0.3">
      <c r="A52" s="84" t="s">
        <v>19</v>
      </c>
      <c r="B52" s="85">
        <v>3.9464046969888205E-3</v>
      </c>
      <c r="C52" s="86"/>
      <c r="D52" s="86"/>
      <c r="E52" s="87"/>
    </row>
    <row r="53" spans="1:7" s="57" customFormat="1" ht="16.5" customHeight="1" x14ac:dyDescent="0.3">
      <c r="A53" s="88" t="s">
        <v>20</v>
      </c>
      <c r="B53" s="89">
        <v>6</v>
      </c>
      <c r="C53" s="90"/>
      <c r="D53" s="91"/>
      <c r="E53" s="92"/>
    </row>
    <row r="54" spans="1:7" s="57" customFormat="1" ht="15.75" customHeight="1" x14ac:dyDescent="0.25">
      <c r="A54" s="63"/>
      <c r="B54" s="63"/>
      <c r="C54" s="63"/>
      <c r="D54" s="63"/>
      <c r="E54" s="63"/>
    </row>
    <row r="55" spans="1:7" s="57" customFormat="1" ht="16.5" customHeight="1" x14ac:dyDescent="0.3">
      <c r="A55" s="65" t="s">
        <v>21</v>
      </c>
      <c r="B55" s="93" t="s">
        <v>132</v>
      </c>
      <c r="C55" s="94"/>
      <c r="D55" s="94"/>
      <c r="E55" s="94"/>
    </row>
    <row r="56" spans="1:7" ht="16.5" customHeight="1" x14ac:dyDescent="0.3">
      <c r="A56" s="65"/>
      <c r="B56" s="93" t="s">
        <v>133</v>
      </c>
      <c r="C56" s="94"/>
      <c r="D56" s="94"/>
      <c r="E56" s="94"/>
    </row>
    <row r="57" spans="1:7" ht="16.5" customHeight="1" x14ac:dyDescent="0.3">
      <c r="A57" s="65"/>
      <c r="B57" s="93" t="s">
        <v>134</v>
      </c>
      <c r="C57" s="94"/>
      <c r="D57" s="94"/>
      <c r="E57" s="94"/>
    </row>
    <row r="58" spans="1:7" ht="14.25" customHeight="1" thickBot="1" x14ac:dyDescent="0.3">
      <c r="A58" s="104"/>
      <c r="B58" s="105"/>
      <c r="D58" s="106"/>
      <c r="F58" s="107"/>
      <c r="G58" s="107"/>
    </row>
    <row r="59" spans="1:7" ht="15" customHeight="1" x14ac:dyDescent="0.3">
      <c r="B59" s="108" t="s">
        <v>23</v>
      </c>
      <c r="C59" s="108"/>
      <c r="E59" s="109" t="s">
        <v>24</v>
      </c>
      <c r="F59" s="110"/>
      <c r="G59" s="109" t="s">
        <v>25</v>
      </c>
    </row>
    <row r="60" spans="1:7" ht="15" customHeight="1" x14ac:dyDescent="0.3">
      <c r="A60" s="111" t="s">
        <v>26</v>
      </c>
      <c r="B60" s="112" t="s">
        <v>147</v>
      </c>
      <c r="C60" s="112"/>
      <c r="E60" s="545">
        <v>43410</v>
      </c>
      <c r="G60" s="112"/>
    </row>
    <row r="61" spans="1:7" ht="15" customHeight="1" x14ac:dyDescent="0.3">
      <c r="A61" s="111" t="s">
        <v>27</v>
      </c>
      <c r="B61" s="113"/>
      <c r="C61" s="113"/>
      <c r="E61" s="113"/>
      <c r="G61" s="11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opLeftCell="A33" zoomScale="60" zoomScaleNormal="60" workbookViewId="0">
      <selection activeCell="B57" sqref="B57"/>
    </sheetView>
  </sheetViews>
  <sheetFormatPr defaultRowHeight="13.5" x14ac:dyDescent="0.25"/>
  <cols>
    <col min="1" max="1" width="27.5703125" style="57" customWidth="1"/>
    <col min="2" max="2" width="25.42578125" style="57" customWidth="1"/>
    <col min="3" max="3" width="31.85546875" style="57" customWidth="1"/>
    <col min="4" max="4" width="25.85546875" style="57" customWidth="1"/>
    <col min="5" max="5" width="29.7109375" style="57" customWidth="1"/>
    <col min="6" max="6" width="43.7109375" style="57" customWidth="1"/>
    <col min="7" max="7" width="28.42578125" style="57" customWidth="1"/>
    <col min="8" max="8" width="21.5703125" style="57" customWidth="1"/>
    <col min="9" max="9" width="9.140625" style="57" customWidth="1"/>
    <col min="10" max="16384" width="9.140625" style="107"/>
  </cols>
  <sheetData>
    <row r="14" spans="1:6" ht="15" customHeight="1" x14ac:dyDescent="0.3">
      <c r="A14" s="56"/>
      <c r="C14" s="58"/>
      <c r="F14" s="58"/>
    </row>
    <row r="15" spans="1:6" ht="18.75" customHeight="1" x14ac:dyDescent="0.3">
      <c r="A15" s="59" t="s">
        <v>0</v>
      </c>
      <c r="B15" s="59"/>
      <c r="C15" s="59"/>
      <c r="D15" s="59"/>
      <c r="E15" s="59"/>
    </row>
    <row r="16" spans="1:6" ht="16.5" customHeight="1" x14ac:dyDescent="0.3">
      <c r="A16" s="60" t="s">
        <v>1</v>
      </c>
      <c r="B16" s="61" t="s">
        <v>2</v>
      </c>
    </row>
    <row r="17" spans="1:7" ht="16.5" customHeight="1" x14ac:dyDescent="0.3">
      <c r="A17" s="62" t="s">
        <v>3</v>
      </c>
      <c r="B17" s="62" t="s">
        <v>128</v>
      </c>
      <c r="C17" s="63"/>
      <c r="D17" s="64"/>
      <c r="E17" s="63"/>
    </row>
    <row r="18" spans="1:7" ht="16.5" customHeight="1" x14ac:dyDescent="0.3">
      <c r="A18" s="65" t="s">
        <v>4</v>
      </c>
      <c r="B18" s="66" t="s">
        <v>136</v>
      </c>
      <c r="C18" s="63"/>
      <c r="D18" s="63"/>
      <c r="E18" s="63"/>
    </row>
    <row r="19" spans="1:7" ht="16.5" customHeight="1" x14ac:dyDescent="0.3">
      <c r="A19" s="65" t="s">
        <v>6</v>
      </c>
      <c r="B19" s="66">
        <v>99.02</v>
      </c>
      <c r="C19" s="63"/>
      <c r="D19" s="63"/>
      <c r="E19" s="63"/>
    </row>
    <row r="20" spans="1:7" ht="16.5" customHeight="1" x14ac:dyDescent="0.3">
      <c r="A20" s="62" t="s">
        <v>8</v>
      </c>
      <c r="B20" s="66">
        <v>17.09</v>
      </c>
      <c r="C20" s="63"/>
      <c r="D20" s="63"/>
      <c r="E20" s="63"/>
    </row>
    <row r="21" spans="1:7" ht="16.5" customHeight="1" x14ac:dyDescent="0.3">
      <c r="A21" s="62" t="s">
        <v>10</v>
      </c>
      <c r="B21" s="67">
        <f>B20/100</f>
        <v>0.1709</v>
      </c>
      <c r="C21" s="63"/>
      <c r="D21" s="63"/>
      <c r="E21" s="63"/>
    </row>
    <row r="22" spans="1:7" ht="15.75" customHeight="1" thickBot="1" x14ac:dyDescent="0.3">
      <c r="A22" s="63"/>
      <c r="B22" s="63" t="s">
        <v>137</v>
      </c>
      <c r="C22" s="63"/>
      <c r="D22" s="63"/>
      <c r="E22" s="63"/>
    </row>
    <row r="23" spans="1:7" ht="16.5" customHeight="1" x14ac:dyDescent="0.3">
      <c r="A23" s="68" t="s">
        <v>13</v>
      </c>
      <c r="B23" s="69" t="s">
        <v>14</v>
      </c>
      <c r="C23" s="68" t="s">
        <v>15</v>
      </c>
      <c r="D23" s="68" t="s">
        <v>16</v>
      </c>
      <c r="E23" s="69" t="s">
        <v>17</v>
      </c>
      <c r="F23" s="115" t="s">
        <v>138</v>
      </c>
      <c r="G23" s="116" t="s">
        <v>139</v>
      </c>
    </row>
    <row r="24" spans="1:7" ht="16.5" customHeight="1" x14ac:dyDescent="0.3">
      <c r="A24" s="71">
        <v>1</v>
      </c>
      <c r="B24" s="72">
        <v>41921995</v>
      </c>
      <c r="C24" s="72">
        <v>13123.1</v>
      </c>
      <c r="D24" s="73">
        <v>1</v>
      </c>
      <c r="E24" s="96">
        <v>11.7</v>
      </c>
      <c r="F24" s="117">
        <v>2.16</v>
      </c>
      <c r="G24" s="118">
        <v>19.8</v>
      </c>
    </row>
    <row r="25" spans="1:7" ht="16.5" customHeight="1" x14ac:dyDescent="0.3">
      <c r="A25" s="71">
        <v>2</v>
      </c>
      <c r="B25" s="72">
        <v>42093304</v>
      </c>
      <c r="C25" s="72">
        <v>13053</v>
      </c>
      <c r="D25" s="73">
        <v>1</v>
      </c>
      <c r="E25" s="98">
        <v>11.7</v>
      </c>
      <c r="F25" s="117">
        <v>2.16</v>
      </c>
      <c r="G25" s="118">
        <v>19.8</v>
      </c>
    </row>
    <row r="26" spans="1:7" ht="16.5" customHeight="1" x14ac:dyDescent="0.3">
      <c r="A26" s="71">
        <v>3</v>
      </c>
      <c r="B26" s="72">
        <v>41941728</v>
      </c>
      <c r="C26" s="72">
        <v>13088.9</v>
      </c>
      <c r="D26" s="73">
        <v>1</v>
      </c>
      <c r="E26" s="98">
        <v>11.7</v>
      </c>
      <c r="F26" s="117">
        <v>2.16</v>
      </c>
      <c r="G26" s="118">
        <v>19.8</v>
      </c>
    </row>
    <row r="27" spans="1:7" ht="16.5" customHeight="1" x14ac:dyDescent="0.3">
      <c r="A27" s="71">
        <v>4</v>
      </c>
      <c r="B27" s="72">
        <v>42009942</v>
      </c>
      <c r="C27" s="72">
        <v>13060</v>
      </c>
      <c r="D27" s="73">
        <v>1</v>
      </c>
      <c r="E27" s="98">
        <v>11.7</v>
      </c>
      <c r="F27" s="117">
        <v>2.16</v>
      </c>
      <c r="G27" s="118">
        <v>19.7</v>
      </c>
    </row>
    <row r="28" spans="1:7" ht="16.5" customHeight="1" x14ac:dyDescent="0.3">
      <c r="A28" s="71">
        <v>5</v>
      </c>
      <c r="B28" s="72">
        <v>41949704</v>
      </c>
      <c r="C28" s="72">
        <v>13006.9</v>
      </c>
      <c r="D28" s="73">
        <v>1</v>
      </c>
      <c r="E28" s="98">
        <v>11.7</v>
      </c>
      <c r="F28" s="117">
        <v>2.16</v>
      </c>
      <c r="G28" s="118">
        <v>19.7</v>
      </c>
    </row>
    <row r="29" spans="1:7" ht="16.5" customHeight="1" thickBot="1" x14ac:dyDescent="0.35">
      <c r="A29" s="71">
        <v>6</v>
      </c>
      <c r="B29" s="76">
        <v>41975704</v>
      </c>
      <c r="C29" s="76">
        <v>12991.6</v>
      </c>
      <c r="D29" s="77">
        <v>1</v>
      </c>
      <c r="E29" s="100">
        <v>11.7</v>
      </c>
      <c r="F29" s="117">
        <v>2.16</v>
      </c>
      <c r="G29" s="118">
        <v>19.7</v>
      </c>
    </row>
    <row r="30" spans="1:7" ht="16.5" customHeight="1" thickBot="1" x14ac:dyDescent="0.35">
      <c r="A30" s="78" t="s">
        <v>18</v>
      </c>
      <c r="B30" s="79">
        <f t="shared" ref="B30:G30" si="0">AVERAGE(B24:B29)</f>
        <v>41982062.833333336</v>
      </c>
      <c r="C30" s="80">
        <f t="shared" si="0"/>
        <v>13053.916666666666</v>
      </c>
      <c r="D30" s="102">
        <f t="shared" si="0"/>
        <v>1</v>
      </c>
      <c r="E30" s="81">
        <f t="shared" si="0"/>
        <v>11.700000000000001</v>
      </c>
      <c r="F30" s="119">
        <f t="shared" si="0"/>
        <v>2.16</v>
      </c>
      <c r="G30" s="83">
        <f t="shared" si="0"/>
        <v>19.750000000000004</v>
      </c>
    </row>
    <row r="31" spans="1:7" ht="16.5" customHeight="1" x14ac:dyDescent="0.3">
      <c r="A31" s="84" t="s">
        <v>19</v>
      </c>
      <c r="B31" s="85">
        <f>(STDEV(B24:B29)/B30)</f>
        <v>1.4865634815149156E-3</v>
      </c>
      <c r="C31" s="86"/>
      <c r="D31" s="86"/>
      <c r="E31" s="120"/>
      <c r="F31" s="121"/>
      <c r="G31" s="122"/>
    </row>
    <row r="32" spans="1:7" s="57" customFormat="1" ht="16.5" customHeight="1" thickBot="1" x14ac:dyDescent="0.35">
      <c r="A32" s="88" t="s">
        <v>20</v>
      </c>
      <c r="B32" s="89">
        <f>COUNT(B24:B29)</f>
        <v>6</v>
      </c>
      <c r="C32" s="90"/>
      <c r="D32" s="91"/>
      <c r="E32" s="91"/>
      <c r="F32" s="123"/>
      <c r="G32" s="124"/>
    </row>
    <row r="33" spans="1:7" s="57" customFormat="1" ht="15.75" customHeight="1" x14ac:dyDescent="0.25">
      <c r="A33" s="63"/>
      <c r="B33" s="63"/>
      <c r="C33" s="63"/>
      <c r="D33" s="63"/>
      <c r="E33" s="63"/>
    </row>
    <row r="34" spans="1:7" s="57" customFormat="1" ht="16.5" customHeight="1" x14ac:dyDescent="0.3">
      <c r="A34" s="65" t="s">
        <v>21</v>
      </c>
      <c r="B34" s="93" t="s">
        <v>132</v>
      </c>
      <c r="C34" s="94"/>
      <c r="D34" s="94"/>
      <c r="E34" s="94"/>
    </row>
    <row r="35" spans="1:7" ht="16.5" customHeight="1" x14ac:dyDescent="0.3">
      <c r="A35" s="65"/>
      <c r="B35" s="93" t="s">
        <v>133</v>
      </c>
      <c r="C35" s="94"/>
      <c r="D35" s="94"/>
      <c r="E35" s="94"/>
    </row>
    <row r="36" spans="1:7" ht="16.5" customHeight="1" x14ac:dyDescent="0.3">
      <c r="A36" s="65"/>
      <c r="B36" s="93" t="s">
        <v>134</v>
      </c>
      <c r="C36" s="94"/>
      <c r="D36" s="94"/>
      <c r="E36" s="94"/>
    </row>
    <row r="37" spans="1:7" ht="16.5" customHeight="1" x14ac:dyDescent="0.3">
      <c r="A37" s="65"/>
      <c r="B37" s="93" t="s">
        <v>140</v>
      </c>
      <c r="C37" s="94"/>
      <c r="D37" s="94"/>
      <c r="E37" s="94"/>
    </row>
    <row r="38" spans="1:7" ht="15.75" customHeight="1" x14ac:dyDescent="0.25">
      <c r="A38" s="63"/>
      <c r="B38" s="63" t="s">
        <v>141</v>
      </c>
      <c r="C38" s="63"/>
      <c r="D38" s="63"/>
      <c r="E38" s="63"/>
    </row>
    <row r="39" spans="1:7" ht="16.5" customHeight="1" x14ac:dyDescent="0.3">
      <c r="A39" s="60" t="s">
        <v>1</v>
      </c>
      <c r="B39" s="61" t="s">
        <v>22</v>
      </c>
    </row>
    <row r="40" spans="1:7" ht="16.5" customHeight="1" x14ac:dyDescent="0.3">
      <c r="A40" s="65" t="s">
        <v>4</v>
      </c>
      <c r="B40" s="62" t="s">
        <v>136</v>
      </c>
      <c r="C40" s="63"/>
      <c r="D40" s="63"/>
      <c r="E40" s="63"/>
    </row>
    <row r="41" spans="1:7" ht="16.5" customHeight="1" x14ac:dyDescent="0.3">
      <c r="A41" s="65" t="s">
        <v>6</v>
      </c>
      <c r="B41" s="66">
        <v>99.02</v>
      </c>
      <c r="C41" s="63"/>
      <c r="D41" s="63"/>
      <c r="E41" s="63"/>
    </row>
    <row r="42" spans="1:7" ht="16.5" customHeight="1" x14ac:dyDescent="0.3">
      <c r="A42" s="62" t="s">
        <v>8</v>
      </c>
      <c r="B42" s="66">
        <v>17.09</v>
      </c>
      <c r="C42" s="63"/>
      <c r="D42" s="63"/>
      <c r="E42" s="63"/>
    </row>
    <row r="43" spans="1:7" ht="16.5" customHeight="1" x14ac:dyDescent="0.3">
      <c r="A43" s="62" t="s">
        <v>10</v>
      </c>
      <c r="B43" s="67">
        <v>0.1709</v>
      </c>
      <c r="C43" s="63"/>
      <c r="D43" s="63"/>
      <c r="E43" s="63"/>
    </row>
    <row r="44" spans="1:7" ht="15.75" customHeight="1" thickBot="1" x14ac:dyDescent="0.3">
      <c r="A44" s="63"/>
      <c r="B44" s="63"/>
      <c r="C44" s="63"/>
      <c r="D44" s="63"/>
      <c r="E44" s="63"/>
    </row>
    <row r="45" spans="1:7" ht="16.5" customHeight="1" thickBot="1" x14ac:dyDescent="0.35">
      <c r="A45" s="68" t="s">
        <v>13</v>
      </c>
      <c r="B45" s="69" t="s">
        <v>14</v>
      </c>
      <c r="C45" s="68" t="s">
        <v>15</v>
      </c>
      <c r="D45" s="68" t="s">
        <v>16</v>
      </c>
      <c r="E45" s="69" t="s">
        <v>17</v>
      </c>
      <c r="F45" s="95" t="s">
        <v>138</v>
      </c>
      <c r="G45" s="125" t="s">
        <v>139</v>
      </c>
    </row>
    <row r="46" spans="1:7" ht="16.5" customHeight="1" x14ac:dyDescent="0.3">
      <c r="A46" s="71">
        <v>1</v>
      </c>
      <c r="B46" s="72">
        <v>41921995</v>
      </c>
      <c r="C46" s="72">
        <v>13123.1</v>
      </c>
      <c r="D46" s="73">
        <v>1</v>
      </c>
      <c r="E46" s="96">
        <v>11.7</v>
      </c>
      <c r="F46" s="99">
        <v>2.16</v>
      </c>
      <c r="G46" s="126">
        <v>19.8</v>
      </c>
    </row>
    <row r="47" spans="1:7" ht="16.5" customHeight="1" x14ac:dyDescent="0.3">
      <c r="A47" s="71">
        <v>2</v>
      </c>
      <c r="B47" s="72">
        <v>42093304</v>
      </c>
      <c r="C47" s="72">
        <v>13053</v>
      </c>
      <c r="D47" s="73">
        <v>1</v>
      </c>
      <c r="E47" s="98">
        <v>11.7</v>
      </c>
      <c r="F47" s="99">
        <v>2.16</v>
      </c>
      <c r="G47" s="126">
        <v>19.8</v>
      </c>
    </row>
    <row r="48" spans="1:7" ht="16.5" customHeight="1" x14ac:dyDescent="0.3">
      <c r="A48" s="71">
        <v>3</v>
      </c>
      <c r="B48" s="72">
        <v>41941728</v>
      </c>
      <c r="C48" s="72">
        <v>13088.9</v>
      </c>
      <c r="D48" s="73">
        <v>1</v>
      </c>
      <c r="E48" s="98">
        <v>11.7</v>
      </c>
      <c r="F48" s="99">
        <v>2.16</v>
      </c>
      <c r="G48" s="126">
        <v>19.8</v>
      </c>
    </row>
    <row r="49" spans="1:7" ht="16.5" customHeight="1" x14ac:dyDescent="0.3">
      <c r="A49" s="71">
        <v>4</v>
      </c>
      <c r="B49" s="72">
        <v>42009942</v>
      </c>
      <c r="C49" s="72">
        <v>13060</v>
      </c>
      <c r="D49" s="73">
        <v>1</v>
      </c>
      <c r="E49" s="98">
        <v>11.7</v>
      </c>
      <c r="F49" s="99">
        <v>2.16</v>
      </c>
      <c r="G49" s="126">
        <v>19.7</v>
      </c>
    </row>
    <row r="50" spans="1:7" ht="16.5" customHeight="1" x14ac:dyDescent="0.3">
      <c r="A50" s="71">
        <v>5</v>
      </c>
      <c r="B50" s="72">
        <v>41949704</v>
      </c>
      <c r="C50" s="72">
        <v>13006.9</v>
      </c>
      <c r="D50" s="73">
        <v>1</v>
      </c>
      <c r="E50" s="98">
        <v>11.7</v>
      </c>
      <c r="F50" s="99">
        <v>2.16</v>
      </c>
      <c r="G50" s="126">
        <v>19.7</v>
      </c>
    </row>
    <row r="51" spans="1:7" ht="16.5" customHeight="1" x14ac:dyDescent="0.3">
      <c r="A51" s="71">
        <v>6</v>
      </c>
      <c r="B51" s="76">
        <v>41975704</v>
      </c>
      <c r="C51" s="76">
        <v>12991.6</v>
      </c>
      <c r="D51" s="77">
        <v>1</v>
      </c>
      <c r="E51" s="100">
        <v>11.7</v>
      </c>
      <c r="F51" s="99">
        <v>2.16</v>
      </c>
      <c r="G51" s="126">
        <v>19.7</v>
      </c>
    </row>
    <row r="52" spans="1:7" ht="16.5" customHeight="1" x14ac:dyDescent="0.3">
      <c r="A52" s="78" t="s">
        <v>18</v>
      </c>
      <c r="B52" s="79">
        <v>41982062.833333336</v>
      </c>
      <c r="C52" s="80">
        <v>13053.916666666666</v>
      </c>
      <c r="D52" s="102">
        <v>1</v>
      </c>
      <c r="E52" s="81">
        <v>11.700000000000001</v>
      </c>
      <c r="F52" s="127">
        <v>2.16</v>
      </c>
      <c r="G52" s="128">
        <v>19.750000000000004</v>
      </c>
    </row>
    <row r="53" spans="1:7" ht="16.5" customHeight="1" x14ac:dyDescent="0.3">
      <c r="A53" s="84" t="s">
        <v>19</v>
      </c>
      <c r="B53" s="85"/>
      <c r="C53" s="86"/>
      <c r="D53" s="86"/>
      <c r="E53" s="120"/>
      <c r="F53" s="121"/>
      <c r="G53" s="129"/>
    </row>
    <row r="54" spans="1:7" s="57" customFormat="1" ht="16.5" customHeight="1" thickBot="1" x14ac:dyDescent="0.35">
      <c r="A54" s="88" t="s">
        <v>20</v>
      </c>
      <c r="B54" s="89"/>
      <c r="C54" s="90"/>
      <c r="D54" s="91"/>
      <c r="E54" s="91"/>
      <c r="F54" s="123"/>
      <c r="G54" s="130"/>
    </row>
    <row r="55" spans="1:7" s="57" customFormat="1" ht="15.75" customHeight="1" x14ac:dyDescent="0.25">
      <c r="A55" s="63"/>
      <c r="B55" s="63"/>
      <c r="C55" s="63"/>
      <c r="D55" s="63"/>
      <c r="E55" s="63"/>
    </row>
    <row r="56" spans="1:7" s="57" customFormat="1" ht="16.5" customHeight="1" x14ac:dyDescent="0.3">
      <c r="A56" s="65" t="s">
        <v>21</v>
      </c>
      <c r="B56" s="93" t="s">
        <v>132</v>
      </c>
      <c r="C56" s="94"/>
      <c r="D56" s="94"/>
      <c r="E56" s="94"/>
    </row>
    <row r="57" spans="1:7" ht="16.5" customHeight="1" x14ac:dyDescent="0.3">
      <c r="A57" s="65"/>
      <c r="B57" s="93" t="s">
        <v>133</v>
      </c>
      <c r="C57" s="94"/>
      <c r="D57" s="94"/>
      <c r="E57" s="94"/>
    </row>
    <row r="58" spans="1:7" ht="16.5" customHeight="1" x14ac:dyDescent="0.3">
      <c r="A58" s="65"/>
      <c r="B58" s="93" t="s">
        <v>134</v>
      </c>
      <c r="C58" s="94"/>
      <c r="D58" s="94"/>
      <c r="E58" s="94"/>
    </row>
    <row r="59" spans="1:7" ht="14.25" customHeight="1" thickBot="1" x14ac:dyDescent="0.3">
      <c r="A59" s="104"/>
      <c r="B59" s="105"/>
      <c r="D59" s="106"/>
      <c r="F59" s="107"/>
      <c r="G59" s="107"/>
    </row>
    <row r="60" spans="1:7" ht="15" customHeight="1" x14ac:dyDescent="0.3">
      <c r="B60" s="108" t="s">
        <v>23</v>
      </c>
      <c r="C60" s="108"/>
      <c r="E60" s="109" t="s">
        <v>24</v>
      </c>
      <c r="F60" s="110"/>
      <c r="G60" s="109" t="s">
        <v>25</v>
      </c>
    </row>
    <row r="61" spans="1:7" ht="15" customHeight="1" x14ac:dyDescent="0.3">
      <c r="A61" s="111" t="s">
        <v>26</v>
      </c>
      <c r="B61" s="112" t="s">
        <v>147</v>
      </c>
      <c r="C61" s="112"/>
      <c r="E61" s="545">
        <v>43410</v>
      </c>
      <c r="G61" s="112"/>
    </row>
    <row r="62" spans="1:7" ht="15" customHeight="1" x14ac:dyDescent="0.3">
      <c r="A62" s="111" t="s">
        <v>27</v>
      </c>
      <c r="B62" s="113"/>
      <c r="C62" s="113"/>
      <c r="E62" s="113"/>
      <c r="G62" s="11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1" zoomScale="41" zoomScaleNormal="40" zoomScalePageLayoutView="41" workbookViewId="0">
      <selection activeCell="B57" sqref="B57"/>
    </sheetView>
  </sheetViews>
  <sheetFormatPr defaultColWidth="9.140625" defaultRowHeight="13.5" x14ac:dyDescent="0.25"/>
  <cols>
    <col min="1" max="1" width="55.42578125" style="132" customWidth="1"/>
    <col min="2" max="2" width="33.7109375" style="132" customWidth="1"/>
    <col min="3" max="3" width="42.28515625" style="132" customWidth="1"/>
    <col min="4" max="4" width="30.5703125" style="132" customWidth="1"/>
    <col min="5" max="5" width="39.85546875" style="132" customWidth="1"/>
    <col min="6" max="6" width="30.7109375" style="132" customWidth="1"/>
    <col min="7" max="7" width="39.85546875" style="132" customWidth="1"/>
    <col min="8" max="8" width="30" style="132" customWidth="1"/>
    <col min="9" max="9" width="30.28515625" style="132" hidden="1" customWidth="1"/>
    <col min="10" max="10" width="30.42578125" style="132" customWidth="1"/>
    <col min="11" max="11" width="21.28515625" style="132" customWidth="1"/>
    <col min="12" max="12" width="9.140625" style="132"/>
    <col min="13" max="16384" width="9.140625" style="139"/>
  </cols>
  <sheetData>
    <row r="1" spans="1:9" ht="18.75" customHeight="1" x14ac:dyDescent="0.25">
      <c r="A1" s="131" t="s">
        <v>42</v>
      </c>
      <c r="B1" s="131"/>
      <c r="C1" s="131"/>
      <c r="D1" s="131"/>
      <c r="E1" s="131"/>
      <c r="F1" s="131"/>
      <c r="G1" s="131"/>
      <c r="H1" s="131"/>
      <c r="I1" s="131"/>
    </row>
    <row r="2" spans="1:9" ht="18.75" customHeight="1" x14ac:dyDescent="0.25">
      <c r="A2" s="131"/>
      <c r="B2" s="131"/>
      <c r="C2" s="131"/>
      <c r="D2" s="131"/>
      <c r="E2" s="131"/>
      <c r="F2" s="131"/>
      <c r="G2" s="131"/>
      <c r="H2" s="131"/>
      <c r="I2" s="131"/>
    </row>
    <row r="3" spans="1:9" ht="18.75" customHeight="1" x14ac:dyDescent="0.25">
      <c r="A3" s="131"/>
      <c r="B3" s="131"/>
      <c r="C3" s="131"/>
      <c r="D3" s="131"/>
      <c r="E3" s="131"/>
      <c r="F3" s="131"/>
      <c r="G3" s="131"/>
      <c r="H3" s="131"/>
      <c r="I3" s="131"/>
    </row>
    <row r="4" spans="1:9" ht="18.75" customHeight="1" x14ac:dyDescent="0.25">
      <c r="A4" s="131"/>
      <c r="B4" s="131"/>
      <c r="C4" s="131"/>
      <c r="D4" s="131"/>
      <c r="E4" s="131"/>
      <c r="F4" s="131"/>
      <c r="G4" s="131"/>
      <c r="H4" s="131"/>
      <c r="I4" s="131"/>
    </row>
    <row r="5" spans="1:9" ht="18.75" customHeight="1" x14ac:dyDescent="0.25">
      <c r="A5" s="131"/>
      <c r="B5" s="131"/>
      <c r="C5" s="131"/>
      <c r="D5" s="131"/>
      <c r="E5" s="131"/>
      <c r="F5" s="131"/>
      <c r="G5" s="131"/>
      <c r="H5" s="131"/>
      <c r="I5" s="131"/>
    </row>
    <row r="6" spans="1:9" ht="18.75" customHeight="1" x14ac:dyDescent="0.25">
      <c r="A6" s="131"/>
      <c r="B6" s="131"/>
      <c r="C6" s="131"/>
      <c r="D6" s="131"/>
      <c r="E6" s="131"/>
      <c r="F6" s="131"/>
      <c r="G6" s="131"/>
      <c r="H6" s="131"/>
      <c r="I6" s="131"/>
    </row>
    <row r="7" spans="1:9" ht="18.75" customHeight="1" x14ac:dyDescent="0.25">
      <c r="A7" s="131"/>
      <c r="B7" s="131"/>
      <c r="C7" s="131"/>
      <c r="D7" s="131"/>
      <c r="E7" s="131"/>
      <c r="F7" s="131"/>
      <c r="G7" s="131"/>
      <c r="H7" s="131"/>
      <c r="I7" s="131"/>
    </row>
    <row r="8" spans="1:9" x14ac:dyDescent="0.25">
      <c r="A8" s="133" t="s">
        <v>43</v>
      </c>
      <c r="B8" s="133"/>
      <c r="C8" s="133"/>
      <c r="D8" s="133"/>
      <c r="E8" s="133"/>
      <c r="F8" s="133"/>
      <c r="G8" s="133"/>
      <c r="H8" s="133"/>
      <c r="I8" s="133"/>
    </row>
    <row r="9" spans="1:9" x14ac:dyDescent="0.25">
      <c r="A9" s="133"/>
      <c r="B9" s="133"/>
      <c r="C9" s="133"/>
      <c r="D9" s="133"/>
      <c r="E9" s="133"/>
      <c r="F9" s="133"/>
      <c r="G9" s="133"/>
      <c r="H9" s="133"/>
      <c r="I9" s="133"/>
    </row>
    <row r="10" spans="1:9" x14ac:dyDescent="0.25">
      <c r="A10" s="133"/>
      <c r="B10" s="133"/>
      <c r="C10" s="133"/>
      <c r="D10" s="133"/>
      <c r="E10" s="133"/>
      <c r="F10" s="133"/>
      <c r="G10" s="133"/>
      <c r="H10" s="133"/>
      <c r="I10" s="133"/>
    </row>
    <row r="11" spans="1:9" x14ac:dyDescent="0.25">
      <c r="A11" s="133"/>
      <c r="B11" s="133"/>
      <c r="C11" s="133"/>
      <c r="D11" s="133"/>
      <c r="E11" s="133"/>
      <c r="F11" s="133"/>
      <c r="G11" s="133"/>
      <c r="H11" s="133"/>
      <c r="I11" s="133"/>
    </row>
    <row r="12" spans="1:9" x14ac:dyDescent="0.25">
      <c r="A12" s="133"/>
      <c r="B12" s="133"/>
      <c r="C12" s="133"/>
      <c r="D12" s="133"/>
      <c r="E12" s="133"/>
      <c r="F12" s="133"/>
      <c r="G12" s="133"/>
      <c r="H12" s="133"/>
      <c r="I12" s="133"/>
    </row>
    <row r="13" spans="1:9" x14ac:dyDescent="0.25">
      <c r="A13" s="133"/>
      <c r="B13" s="133"/>
      <c r="C13" s="133"/>
      <c r="D13" s="133"/>
      <c r="E13" s="133"/>
      <c r="F13" s="133"/>
      <c r="G13" s="133"/>
      <c r="H13" s="133"/>
      <c r="I13" s="133"/>
    </row>
    <row r="14" spans="1:9" x14ac:dyDescent="0.25">
      <c r="A14" s="133"/>
      <c r="B14" s="133"/>
      <c r="C14" s="133"/>
      <c r="D14" s="133"/>
      <c r="E14" s="133"/>
      <c r="F14" s="133"/>
      <c r="G14" s="133"/>
      <c r="H14" s="133"/>
      <c r="I14" s="133"/>
    </row>
    <row r="15" spans="1:9" ht="19.5" customHeight="1" thickBot="1" x14ac:dyDescent="0.35">
      <c r="A15" s="134"/>
    </row>
    <row r="16" spans="1:9" ht="19.5" customHeight="1" thickBot="1" x14ac:dyDescent="0.35">
      <c r="A16" s="135" t="s">
        <v>28</v>
      </c>
      <c r="B16" s="136"/>
      <c r="C16" s="136"/>
      <c r="D16" s="136"/>
      <c r="E16" s="136"/>
      <c r="F16" s="136"/>
      <c r="G16" s="136"/>
      <c r="H16" s="137"/>
    </row>
    <row r="17" spans="1:14" ht="20.25" customHeight="1" x14ac:dyDescent="0.25">
      <c r="A17" s="138" t="s">
        <v>44</v>
      </c>
      <c r="B17" s="138"/>
      <c r="C17" s="138"/>
      <c r="D17" s="138"/>
      <c r="E17" s="138"/>
      <c r="F17" s="138"/>
      <c r="G17" s="138"/>
      <c r="H17" s="138"/>
    </row>
    <row r="18" spans="1:14" ht="26.25" customHeight="1" x14ac:dyDescent="0.4">
      <c r="A18" s="140" t="s">
        <v>30</v>
      </c>
      <c r="B18" s="141" t="s">
        <v>142</v>
      </c>
      <c r="C18" s="141"/>
      <c r="D18" s="142"/>
      <c r="E18" s="143"/>
      <c r="F18" s="144"/>
      <c r="G18" s="144"/>
      <c r="H18" s="144"/>
    </row>
    <row r="19" spans="1:14" ht="26.25" customHeight="1" x14ac:dyDescent="0.4">
      <c r="A19" s="140" t="s">
        <v>31</v>
      </c>
      <c r="B19" s="145" t="s">
        <v>7</v>
      </c>
      <c r="C19" s="144">
        <v>1</v>
      </c>
      <c r="D19" s="144"/>
      <c r="E19" s="144"/>
      <c r="F19" s="144"/>
      <c r="G19" s="144"/>
      <c r="H19" s="144"/>
    </row>
    <row r="20" spans="1:14" ht="26.25" customHeight="1" x14ac:dyDescent="0.4">
      <c r="A20" s="140" t="s">
        <v>32</v>
      </c>
      <c r="B20" s="146" t="s">
        <v>143</v>
      </c>
      <c r="C20" s="146"/>
      <c r="D20" s="144"/>
      <c r="E20" s="144"/>
      <c r="F20" s="144"/>
      <c r="G20" s="144"/>
      <c r="H20" s="144"/>
    </row>
    <row r="21" spans="1:14" ht="26.25" customHeight="1" x14ac:dyDescent="0.4">
      <c r="A21" s="140" t="s">
        <v>33</v>
      </c>
      <c r="B21" s="146" t="s">
        <v>11</v>
      </c>
      <c r="C21" s="146"/>
      <c r="D21" s="146"/>
      <c r="E21" s="146"/>
      <c r="F21" s="146"/>
      <c r="G21" s="146"/>
      <c r="H21" s="146"/>
      <c r="I21" s="147"/>
    </row>
    <row r="22" spans="1:14" ht="26.25" customHeight="1" x14ac:dyDescent="0.4">
      <c r="A22" s="140" t="s">
        <v>34</v>
      </c>
      <c r="B22" s="148" t="s">
        <v>144</v>
      </c>
      <c r="C22" s="144"/>
      <c r="D22" s="144"/>
      <c r="E22" s="144"/>
      <c r="F22" s="144"/>
      <c r="G22" s="144"/>
      <c r="H22" s="144"/>
    </row>
    <row r="23" spans="1:14" ht="26.25" customHeight="1" x14ac:dyDescent="0.4">
      <c r="A23" s="140" t="s">
        <v>35</v>
      </c>
      <c r="B23" s="148"/>
      <c r="C23" s="144"/>
      <c r="D23" s="144"/>
      <c r="E23" s="144"/>
      <c r="F23" s="144"/>
      <c r="G23" s="144"/>
      <c r="H23" s="144"/>
    </row>
    <row r="24" spans="1:14" ht="18.75" x14ac:dyDescent="0.3">
      <c r="A24" s="140"/>
      <c r="B24" s="149"/>
    </row>
    <row r="25" spans="1:14" ht="18.75" x14ac:dyDescent="0.3">
      <c r="A25" s="150" t="s">
        <v>1</v>
      </c>
      <c r="B25" s="149"/>
    </row>
    <row r="26" spans="1:14" ht="26.25" customHeight="1" x14ac:dyDescent="0.4">
      <c r="A26" s="151" t="s">
        <v>4</v>
      </c>
      <c r="B26" s="141" t="s">
        <v>136</v>
      </c>
      <c r="C26" s="141"/>
    </row>
    <row r="27" spans="1:14" ht="26.25" customHeight="1" x14ac:dyDescent="0.4">
      <c r="A27" s="152" t="s">
        <v>45</v>
      </c>
      <c r="B27" s="153" t="s">
        <v>145</v>
      </c>
      <c r="C27" s="153"/>
    </row>
    <row r="28" spans="1:14" ht="27" customHeight="1" thickBot="1" x14ac:dyDescent="0.45">
      <c r="A28" s="152" t="s">
        <v>6</v>
      </c>
      <c r="B28" s="154">
        <v>99.02</v>
      </c>
    </row>
    <row r="29" spans="1:14" s="159" customFormat="1" ht="27" customHeight="1" thickBot="1" x14ac:dyDescent="0.45">
      <c r="A29" s="152" t="s">
        <v>46</v>
      </c>
      <c r="B29" s="155">
        <v>0</v>
      </c>
      <c r="C29" s="156" t="s">
        <v>47</v>
      </c>
      <c r="D29" s="157"/>
      <c r="E29" s="157"/>
      <c r="F29" s="157"/>
      <c r="G29" s="158"/>
      <c r="I29" s="160"/>
      <c r="J29" s="160"/>
      <c r="K29" s="160"/>
      <c r="L29" s="160"/>
    </row>
    <row r="30" spans="1:14" s="159" customFormat="1" ht="19.5" customHeight="1" thickBot="1" x14ac:dyDescent="0.35">
      <c r="A30" s="152" t="s">
        <v>48</v>
      </c>
      <c r="B30" s="161">
        <f>B28-B29</f>
        <v>99.02</v>
      </c>
      <c r="C30" s="162"/>
      <c r="D30" s="162"/>
      <c r="E30" s="162"/>
      <c r="F30" s="162"/>
      <c r="G30" s="163"/>
      <c r="I30" s="160"/>
      <c r="J30" s="160"/>
      <c r="K30" s="160"/>
      <c r="L30" s="160"/>
    </row>
    <row r="31" spans="1:14" s="159" customFormat="1" ht="27" customHeight="1" thickBot="1" x14ac:dyDescent="0.45">
      <c r="A31" s="152" t="s">
        <v>49</v>
      </c>
      <c r="B31" s="164">
        <v>1</v>
      </c>
      <c r="C31" s="165" t="s">
        <v>50</v>
      </c>
      <c r="D31" s="166"/>
      <c r="E31" s="166"/>
      <c r="F31" s="166"/>
      <c r="G31" s="166"/>
      <c r="H31" s="167"/>
      <c r="I31" s="160"/>
      <c r="J31" s="160"/>
      <c r="K31" s="160"/>
      <c r="L31" s="160"/>
    </row>
    <row r="32" spans="1:14" s="159" customFormat="1" ht="27" customHeight="1" thickBot="1" x14ac:dyDescent="0.45">
      <c r="A32" s="152" t="s">
        <v>51</v>
      </c>
      <c r="B32" s="164">
        <v>1</v>
      </c>
      <c r="C32" s="165" t="s">
        <v>52</v>
      </c>
      <c r="D32" s="166"/>
      <c r="E32" s="166"/>
      <c r="F32" s="166"/>
      <c r="G32" s="166"/>
      <c r="H32" s="167"/>
      <c r="I32" s="160"/>
      <c r="J32" s="160"/>
      <c r="K32" s="160"/>
      <c r="L32" s="168"/>
      <c r="M32" s="168"/>
      <c r="N32" s="169"/>
    </row>
    <row r="33" spans="1:14" s="159" customFormat="1" ht="17.25" customHeight="1" x14ac:dyDescent="0.3">
      <c r="A33" s="152"/>
      <c r="B33" s="170"/>
      <c r="C33" s="171"/>
      <c r="D33" s="171"/>
      <c r="E33" s="171"/>
      <c r="F33" s="171"/>
      <c r="G33" s="171"/>
      <c r="H33" s="171"/>
      <c r="I33" s="160"/>
      <c r="J33" s="160"/>
      <c r="K33" s="160"/>
      <c r="L33" s="168"/>
      <c r="M33" s="168"/>
      <c r="N33" s="169"/>
    </row>
    <row r="34" spans="1:14" s="159" customFormat="1" ht="18.75" x14ac:dyDescent="0.3">
      <c r="A34" s="152" t="s">
        <v>53</v>
      </c>
      <c r="B34" s="172">
        <f>B31/B32</f>
        <v>1</v>
      </c>
      <c r="C34" s="134" t="s">
        <v>54</v>
      </c>
      <c r="D34" s="134"/>
      <c r="E34" s="134"/>
      <c r="F34" s="134"/>
      <c r="G34" s="134"/>
      <c r="I34" s="160"/>
      <c r="J34" s="160"/>
      <c r="K34" s="160"/>
      <c r="L34" s="168"/>
      <c r="M34" s="168"/>
      <c r="N34" s="169"/>
    </row>
    <row r="35" spans="1:14" s="159" customFormat="1" ht="19.5" customHeight="1" thickBot="1" x14ac:dyDescent="0.35">
      <c r="A35" s="152"/>
      <c r="B35" s="161"/>
      <c r="G35" s="134"/>
      <c r="I35" s="160"/>
      <c r="J35" s="160"/>
      <c r="K35" s="160"/>
      <c r="L35" s="168"/>
      <c r="M35" s="168"/>
      <c r="N35" s="169"/>
    </row>
    <row r="36" spans="1:14" s="159" customFormat="1" ht="27" customHeight="1" thickBot="1" x14ac:dyDescent="0.45">
      <c r="A36" s="173" t="s">
        <v>55</v>
      </c>
      <c r="B36" s="174">
        <v>100</v>
      </c>
      <c r="C36" s="134"/>
      <c r="D36" s="175" t="s">
        <v>56</v>
      </c>
      <c r="E36" s="176"/>
      <c r="F36" s="175" t="s">
        <v>57</v>
      </c>
      <c r="G36" s="177"/>
      <c r="J36" s="160"/>
      <c r="K36" s="160"/>
      <c r="L36" s="168"/>
      <c r="M36" s="168"/>
      <c r="N36" s="169"/>
    </row>
    <row r="37" spans="1:14" s="159" customFormat="1" ht="27" customHeight="1" thickBot="1" x14ac:dyDescent="0.45">
      <c r="A37" s="178" t="s">
        <v>58</v>
      </c>
      <c r="B37" s="179">
        <v>1</v>
      </c>
      <c r="C37" s="180" t="s">
        <v>59</v>
      </c>
      <c r="D37" s="181" t="s">
        <v>60</v>
      </c>
      <c r="E37" s="182" t="s">
        <v>61</v>
      </c>
      <c r="F37" s="181" t="s">
        <v>60</v>
      </c>
      <c r="G37" s="183" t="s">
        <v>61</v>
      </c>
      <c r="I37" s="184" t="s">
        <v>62</v>
      </c>
      <c r="J37" s="160"/>
      <c r="K37" s="160"/>
      <c r="L37" s="168"/>
      <c r="M37" s="168"/>
      <c r="N37" s="169"/>
    </row>
    <row r="38" spans="1:14" s="159" customFormat="1" ht="26.25" customHeight="1" x14ac:dyDescent="0.4">
      <c r="A38" s="178" t="s">
        <v>63</v>
      </c>
      <c r="B38" s="179">
        <v>1</v>
      </c>
      <c r="C38" s="185">
        <v>1</v>
      </c>
      <c r="D38" s="186">
        <v>41948719</v>
      </c>
      <c r="E38" s="187">
        <f>IF(ISBLANK(D38),"-",$D$48/$D$45*D38)</f>
        <v>39661916.979494423</v>
      </c>
      <c r="F38" s="186">
        <v>40123112</v>
      </c>
      <c r="G38" s="188">
        <f>IF(ISBLANK(F38),"-",$D$48/$F$45*F38)</f>
        <v>39995272.11210268</v>
      </c>
      <c r="I38" s="189"/>
      <c r="J38" s="160"/>
      <c r="K38" s="160"/>
      <c r="L38" s="168"/>
      <c r="M38" s="168"/>
      <c r="N38" s="169"/>
    </row>
    <row r="39" spans="1:14" s="159" customFormat="1" ht="26.25" customHeight="1" x14ac:dyDescent="0.4">
      <c r="A39" s="178" t="s">
        <v>64</v>
      </c>
      <c r="B39" s="179">
        <v>1</v>
      </c>
      <c r="C39" s="190">
        <v>2</v>
      </c>
      <c r="D39" s="191">
        <v>42096409</v>
      </c>
      <c r="E39" s="192">
        <f>IF(ISBLANK(D39),"-",$D$48/$D$45*D39)</f>
        <v>39801555.773201123</v>
      </c>
      <c r="F39" s="191">
        <v>39814884</v>
      </c>
      <c r="G39" s="193">
        <f>IF(ISBLANK(F39),"-",$D$48/$F$45*F39)</f>
        <v>39688026.18530196</v>
      </c>
      <c r="I39" s="194">
        <f>ABS((F43/D43*D42)-F42)/D42</f>
        <v>3.0466719390612497E-3</v>
      </c>
      <c r="J39" s="160"/>
      <c r="K39" s="160"/>
      <c r="L39" s="168"/>
      <c r="M39" s="168"/>
      <c r="N39" s="169"/>
    </row>
    <row r="40" spans="1:14" ht="26.25" customHeight="1" x14ac:dyDescent="0.4">
      <c r="A40" s="178" t="s">
        <v>65</v>
      </c>
      <c r="B40" s="179">
        <v>1</v>
      </c>
      <c r="C40" s="190">
        <v>3</v>
      </c>
      <c r="D40" s="191">
        <v>41804166</v>
      </c>
      <c r="E40" s="192">
        <f>IF(ISBLANK(D40),"-",$D$48/$D$45*D40)</f>
        <v>39525244.174655326</v>
      </c>
      <c r="F40" s="191">
        <v>39814475</v>
      </c>
      <c r="G40" s="193">
        <f>IF(ISBLANK(F40),"-",$D$48/$F$45*F40)</f>
        <v>39687618.488453969</v>
      </c>
      <c r="I40" s="194"/>
      <c r="L40" s="168"/>
      <c r="M40" s="168"/>
      <c r="N40" s="134"/>
    </row>
    <row r="41" spans="1:14" ht="27" customHeight="1" thickBot="1" x14ac:dyDescent="0.45">
      <c r="A41" s="178" t="s">
        <v>66</v>
      </c>
      <c r="B41" s="179">
        <v>1</v>
      </c>
      <c r="C41" s="195">
        <v>4</v>
      </c>
      <c r="D41" s="196"/>
      <c r="E41" s="197" t="str">
        <f>IF(ISBLANK(D41),"-",$D$48/$D$45*D41)</f>
        <v>-</v>
      </c>
      <c r="F41" s="196"/>
      <c r="G41" s="198" t="str">
        <f>IF(ISBLANK(F41),"-",$D$48/$F$45*F41)</f>
        <v>-</v>
      </c>
      <c r="I41" s="199"/>
      <c r="L41" s="168"/>
      <c r="M41" s="168"/>
      <c r="N41" s="134"/>
    </row>
    <row r="42" spans="1:14" ht="27" customHeight="1" thickBot="1" x14ac:dyDescent="0.45">
      <c r="A42" s="178" t="s">
        <v>67</v>
      </c>
      <c r="B42" s="179">
        <v>1</v>
      </c>
      <c r="C42" s="200" t="s">
        <v>68</v>
      </c>
      <c r="D42" s="201">
        <f>AVERAGE(D38:D41)</f>
        <v>41949764.666666664</v>
      </c>
      <c r="E42" s="202">
        <f>AVERAGE(E38:E41)</f>
        <v>39662905.642450295</v>
      </c>
      <c r="F42" s="201">
        <f>AVERAGE(F38:F41)</f>
        <v>39917490.333333336</v>
      </c>
      <c r="G42" s="203">
        <f>AVERAGE(G38:G41)</f>
        <v>39790305.595286205</v>
      </c>
      <c r="H42" s="204"/>
    </row>
    <row r="43" spans="1:14" ht="26.25" customHeight="1" x14ac:dyDescent="0.4">
      <c r="A43" s="178" t="s">
        <v>69</v>
      </c>
      <c r="B43" s="179">
        <v>1</v>
      </c>
      <c r="C43" s="205" t="s">
        <v>70</v>
      </c>
      <c r="D43" s="206">
        <v>17.09</v>
      </c>
      <c r="E43" s="134"/>
      <c r="F43" s="206">
        <v>16.21</v>
      </c>
      <c r="H43" s="204"/>
    </row>
    <row r="44" spans="1:14" ht="26.25" customHeight="1" x14ac:dyDescent="0.4">
      <c r="A44" s="178" t="s">
        <v>71</v>
      </c>
      <c r="B44" s="179">
        <v>1</v>
      </c>
      <c r="C44" s="207" t="s">
        <v>72</v>
      </c>
      <c r="D44" s="208">
        <f>D43*$B$34</f>
        <v>17.09</v>
      </c>
      <c r="E44" s="209"/>
      <c r="F44" s="208">
        <f>F43*$B$34</f>
        <v>16.21</v>
      </c>
      <c r="H44" s="204"/>
    </row>
    <row r="45" spans="1:14" ht="19.5" customHeight="1" thickBot="1" x14ac:dyDescent="0.35">
      <c r="A45" s="178" t="s">
        <v>73</v>
      </c>
      <c r="B45" s="190">
        <f>(B44/B43)*(B42/B41)*(B40/B39)*(B38/B37)*B36</f>
        <v>100</v>
      </c>
      <c r="C45" s="207" t="s">
        <v>74</v>
      </c>
      <c r="D45" s="210">
        <f>D44*$B$30/100</f>
        <v>16.922518</v>
      </c>
      <c r="E45" s="211"/>
      <c r="F45" s="210">
        <f>F44*$B$30/100</f>
        <v>16.051141999999999</v>
      </c>
      <c r="H45" s="204"/>
    </row>
    <row r="46" spans="1:14" ht="19.5" customHeight="1" thickBot="1" x14ac:dyDescent="0.35">
      <c r="A46" s="212" t="s">
        <v>75</v>
      </c>
      <c r="B46" s="213"/>
      <c r="C46" s="207" t="s">
        <v>76</v>
      </c>
      <c r="D46" s="214">
        <f>D45/$B$45</f>
        <v>0.16922518</v>
      </c>
      <c r="E46" s="215"/>
      <c r="F46" s="216">
        <f>F45/$B$45</f>
        <v>0.16051141999999999</v>
      </c>
      <c r="H46" s="204"/>
    </row>
    <row r="47" spans="1:14" ht="27" customHeight="1" thickBot="1" x14ac:dyDescent="0.45">
      <c r="A47" s="217"/>
      <c r="B47" s="218"/>
      <c r="C47" s="219" t="s">
        <v>77</v>
      </c>
      <c r="D47" s="220">
        <v>0.16</v>
      </c>
      <c r="E47" s="221"/>
      <c r="F47" s="215"/>
      <c r="H47" s="204"/>
    </row>
    <row r="48" spans="1:14" ht="18.75" x14ac:dyDescent="0.3">
      <c r="C48" s="222" t="s">
        <v>78</v>
      </c>
      <c r="D48" s="210">
        <f>D47*$B$45</f>
        <v>16</v>
      </c>
      <c r="F48" s="223"/>
      <c r="H48" s="204"/>
    </row>
    <row r="49" spans="1:12" ht="19.5" customHeight="1" thickBot="1" x14ac:dyDescent="0.35">
      <c r="C49" s="224" t="s">
        <v>79</v>
      </c>
      <c r="D49" s="225">
        <f>D48/B34</f>
        <v>16</v>
      </c>
      <c r="F49" s="223"/>
      <c r="H49" s="204"/>
    </row>
    <row r="50" spans="1:12" ht="18.75" x14ac:dyDescent="0.3">
      <c r="C50" s="173" t="s">
        <v>80</v>
      </c>
      <c r="D50" s="226">
        <f>AVERAGE(E38:E41,G38:G41)</f>
        <v>39726605.618868254</v>
      </c>
      <c r="F50" s="227"/>
      <c r="H50" s="204"/>
    </row>
    <row r="51" spans="1:12" ht="18.75" x14ac:dyDescent="0.3">
      <c r="C51" s="178" t="s">
        <v>81</v>
      </c>
      <c r="D51" s="228">
        <f>STDEV(E38:E41,G38:G41)/D50</f>
        <v>3.9886160473408374E-3</v>
      </c>
      <c r="F51" s="227"/>
      <c r="H51" s="204"/>
    </row>
    <row r="52" spans="1:12" ht="19.5" customHeight="1" thickBot="1" x14ac:dyDescent="0.35">
      <c r="C52" s="229" t="s">
        <v>20</v>
      </c>
      <c r="D52" s="230">
        <f>COUNT(E38:E41,G38:G41)</f>
        <v>6</v>
      </c>
      <c r="F52" s="227"/>
    </row>
    <row r="54" spans="1:12" ht="18.75" x14ac:dyDescent="0.3">
      <c r="A54" s="231" t="s">
        <v>1</v>
      </c>
      <c r="B54" s="232" t="s">
        <v>82</v>
      </c>
    </row>
    <row r="55" spans="1:12" ht="18.75" x14ac:dyDescent="0.3">
      <c r="A55" s="134" t="s">
        <v>83</v>
      </c>
      <c r="B55" s="233" t="str">
        <f>B21</f>
        <v>Each tablet contains: Sulphamethoxazole BP 800 mg and Trimethoprim BP 160 mg.</v>
      </c>
    </row>
    <row r="56" spans="1:12" ht="26.25" customHeight="1" x14ac:dyDescent="0.4">
      <c r="A56" s="233" t="s">
        <v>84</v>
      </c>
      <c r="B56" s="234">
        <v>800</v>
      </c>
      <c r="C56" s="134" t="str">
        <f>B20</f>
        <v>each tablets contains sulphamethoxazole 800mg Trimethoprim 160mg.</v>
      </c>
      <c r="H56" s="209"/>
    </row>
    <row r="57" spans="1:12" ht="18.75" x14ac:dyDescent="0.3">
      <c r="A57" s="233" t="s">
        <v>85</v>
      </c>
      <c r="B57" s="235">
        <f>Uniformity!C46</f>
        <v>1042.1599999999999</v>
      </c>
      <c r="H57" s="209"/>
    </row>
    <row r="58" spans="1:12" ht="19.5" customHeight="1" thickBot="1" x14ac:dyDescent="0.35">
      <c r="H58" s="209"/>
    </row>
    <row r="59" spans="1:12" s="159" customFormat="1" ht="27" customHeight="1" thickBot="1" x14ac:dyDescent="0.45">
      <c r="A59" s="173" t="s">
        <v>86</v>
      </c>
      <c r="B59" s="174">
        <v>100</v>
      </c>
      <c r="C59" s="134"/>
      <c r="D59" s="236" t="s">
        <v>87</v>
      </c>
      <c r="E59" s="237" t="s">
        <v>59</v>
      </c>
      <c r="F59" s="237" t="s">
        <v>60</v>
      </c>
      <c r="G59" s="237" t="s">
        <v>88</v>
      </c>
      <c r="H59" s="180" t="s">
        <v>89</v>
      </c>
      <c r="L59" s="160"/>
    </row>
    <row r="60" spans="1:12" s="159" customFormat="1" ht="26.25" customHeight="1" x14ac:dyDescent="0.4">
      <c r="A60" s="178" t="s">
        <v>90</v>
      </c>
      <c r="B60" s="179">
        <v>2</v>
      </c>
      <c r="C60" s="238" t="s">
        <v>91</v>
      </c>
      <c r="D60" s="239">
        <v>1033.44</v>
      </c>
      <c r="E60" s="240">
        <v>1</v>
      </c>
      <c r="F60" s="241">
        <v>38242325</v>
      </c>
      <c r="G60" s="242">
        <f>IF(ISBLANK(F60),"-",(F60/$D$50*$D$47*$B$68)*($B$57/$D$60))</f>
        <v>776.60815905358015</v>
      </c>
      <c r="H60" s="243">
        <f t="shared" ref="H60:H71" si="0">IF(ISBLANK(F60),"-",(G60/$B$56)*100)</f>
        <v>97.076019881697519</v>
      </c>
      <c r="L60" s="160"/>
    </row>
    <row r="61" spans="1:12" s="159" customFormat="1" ht="26.25" customHeight="1" x14ac:dyDescent="0.4">
      <c r="A61" s="178" t="s">
        <v>92</v>
      </c>
      <c r="B61" s="179">
        <v>100</v>
      </c>
      <c r="C61" s="244"/>
      <c r="D61" s="245"/>
      <c r="E61" s="246">
        <v>2</v>
      </c>
      <c r="F61" s="191">
        <v>38464530</v>
      </c>
      <c r="G61" s="247">
        <f>IF(ISBLANK(F61),"-",(F61/$D$50*$D$47*$B$68)*($B$57/$D$60))</f>
        <v>781.12059954935273</v>
      </c>
      <c r="H61" s="248">
        <f t="shared" si="0"/>
        <v>97.640074943669092</v>
      </c>
      <c r="L61" s="160"/>
    </row>
    <row r="62" spans="1:12" s="159" customFormat="1" ht="26.25" customHeight="1" x14ac:dyDescent="0.4">
      <c r="A62" s="178" t="s">
        <v>93</v>
      </c>
      <c r="B62" s="179">
        <v>1</v>
      </c>
      <c r="C62" s="244"/>
      <c r="D62" s="245"/>
      <c r="E62" s="246">
        <v>3</v>
      </c>
      <c r="F62" s="249">
        <v>38445935</v>
      </c>
      <c r="G62" s="247">
        <f>IF(ISBLANK(F62),"-",(F62/$D$50*$D$47*$B$68)*($B$57/$D$60))</f>
        <v>780.74298054429482</v>
      </c>
      <c r="H62" s="248">
        <f t="shared" si="0"/>
        <v>97.592872568036853</v>
      </c>
      <c r="L62" s="160"/>
    </row>
    <row r="63" spans="1:12" ht="27" customHeight="1" thickBot="1" x14ac:dyDescent="0.45">
      <c r="A63" s="178" t="s">
        <v>94</v>
      </c>
      <c r="B63" s="179">
        <v>1</v>
      </c>
      <c r="C63" s="250"/>
      <c r="D63" s="251"/>
      <c r="E63" s="252">
        <v>4</v>
      </c>
      <c r="F63" s="253"/>
      <c r="G63" s="247" t="str">
        <f>IF(ISBLANK(F63),"-",(F63/$D$50*$D$47*$B$68)*($B$57/$D$60))</f>
        <v>-</v>
      </c>
      <c r="H63" s="248" t="str">
        <f t="shared" si="0"/>
        <v>-</v>
      </c>
    </row>
    <row r="64" spans="1:12" ht="26.25" customHeight="1" x14ac:dyDescent="0.4">
      <c r="A64" s="178" t="s">
        <v>95</v>
      </c>
      <c r="B64" s="179">
        <v>1</v>
      </c>
      <c r="C64" s="238" t="s">
        <v>96</v>
      </c>
      <c r="D64" s="239">
        <v>1045.25</v>
      </c>
      <c r="E64" s="240">
        <v>1</v>
      </c>
      <c r="F64" s="241">
        <v>39413919</v>
      </c>
      <c r="G64" s="242">
        <f>IF(ISBLANK(F64),"-",(F64/$D$50*$D$47*$B$68)*($B$57/$D$64))</f>
        <v>791.35686033499803</v>
      </c>
      <c r="H64" s="243">
        <f t="shared" si="0"/>
        <v>98.919607541874754</v>
      </c>
    </row>
    <row r="65" spans="1:8" ht="26.25" customHeight="1" x14ac:dyDescent="0.4">
      <c r="A65" s="178" t="s">
        <v>97</v>
      </c>
      <c r="B65" s="179">
        <v>1</v>
      </c>
      <c r="C65" s="244"/>
      <c r="D65" s="245"/>
      <c r="E65" s="246">
        <v>2</v>
      </c>
      <c r="F65" s="191">
        <v>39066325</v>
      </c>
      <c r="G65" s="247">
        <f>IF(ISBLANK(F65),"-",(F65/$D$50*$D$47*$B$68)*($B$57/$D$64))</f>
        <v>784.37783101007142</v>
      </c>
      <c r="H65" s="248">
        <f t="shared" si="0"/>
        <v>98.047228876258927</v>
      </c>
    </row>
    <row r="66" spans="1:8" ht="26.25" customHeight="1" x14ac:dyDescent="0.4">
      <c r="A66" s="178" t="s">
        <v>98</v>
      </c>
      <c r="B66" s="179">
        <v>1</v>
      </c>
      <c r="C66" s="244"/>
      <c r="D66" s="245"/>
      <c r="E66" s="246">
        <v>3</v>
      </c>
      <c r="F66" s="191">
        <v>39254334</v>
      </c>
      <c r="G66" s="247">
        <f>IF(ISBLANK(F66),"-",(F66/$D$50*$D$47*$B$68)*($B$57/$D$64))</f>
        <v>788.1526957210566</v>
      </c>
      <c r="H66" s="248">
        <f t="shared" si="0"/>
        <v>98.519086965132075</v>
      </c>
    </row>
    <row r="67" spans="1:8" ht="27" customHeight="1" thickBot="1" x14ac:dyDescent="0.45">
      <c r="A67" s="178" t="s">
        <v>99</v>
      </c>
      <c r="B67" s="179">
        <v>1</v>
      </c>
      <c r="C67" s="250"/>
      <c r="D67" s="251"/>
      <c r="E67" s="252">
        <v>4</v>
      </c>
      <c r="F67" s="253"/>
      <c r="G67" s="254" t="str">
        <f>IF(ISBLANK(F67),"-",(F67/$D$50*$D$47*$B$68)*($B$57/$D$64))</f>
        <v>-</v>
      </c>
      <c r="H67" s="255" t="str">
        <f t="shared" si="0"/>
        <v>-</v>
      </c>
    </row>
    <row r="68" spans="1:8" ht="26.25" customHeight="1" x14ac:dyDescent="0.4">
      <c r="A68" s="178" t="s">
        <v>100</v>
      </c>
      <c r="B68" s="256">
        <f>(B67/B66)*(B65/B64)*(B63/B62)*(B61/B60)*B59</f>
        <v>5000</v>
      </c>
      <c r="C68" s="238" t="s">
        <v>101</v>
      </c>
      <c r="D68" s="239">
        <v>1053.04</v>
      </c>
      <c r="E68" s="240">
        <v>1</v>
      </c>
      <c r="F68" s="241">
        <v>39158770</v>
      </c>
      <c r="G68" s="242">
        <f>IF(ISBLANK(F68),"-",(F68/$D$50*$D$47*$B$68)*($B$57/$D$68))</f>
        <v>780.41768391193057</v>
      </c>
      <c r="H68" s="248">
        <f t="shared" si="0"/>
        <v>97.552210488991321</v>
      </c>
    </row>
    <row r="69" spans="1:8" ht="27" customHeight="1" thickBot="1" x14ac:dyDescent="0.45">
      <c r="A69" s="229" t="s">
        <v>102</v>
      </c>
      <c r="B69" s="257">
        <f>(D47*B68)/B56*B57</f>
        <v>1042.1599999999999</v>
      </c>
      <c r="C69" s="244"/>
      <c r="D69" s="245"/>
      <c r="E69" s="246">
        <v>2</v>
      </c>
      <c r="F69" s="191">
        <v>39294848</v>
      </c>
      <c r="G69" s="247">
        <f>IF(ISBLANK(F69),"-",(F69/$D$50*$D$47*$B$68)*($B$57/$D$68))</f>
        <v>783.12966075878694</v>
      </c>
      <c r="H69" s="248">
        <f t="shared" si="0"/>
        <v>97.891207594848368</v>
      </c>
    </row>
    <row r="70" spans="1:8" ht="26.25" customHeight="1" x14ac:dyDescent="0.4">
      <c r="A70" s="258" t="s">
        <v>75</v>
      </c>
      <c r="B70" s="259"/>
      <c r="C70" s="244"/>
      <c r="D70" s="245"/>
      <c r="E70" s="246">
        <v>3</v>
      </c>
      <c r="F70" s="191">
        <v>39073215</v>
      </c>
      <c r="G70" s="247">
        <f>IF(ISBLANK(F70),"-",(F70/$D$50*$D$47*$B$68)*($B$57/$D$68))</f>
        <v>778.71260903478105</v>
      </c>
      <c r="H70" s="248">
        <f t="shared" si="0"/>
        <v>97.339076129347632</v>
      </c>
    </row>
    <row r="71" spans="1:8" ht="27" customHeight="1" thickBot="1" x14ac:dyDescent="0.45">
      <c r="A71" s="260"/>
      <c r="B71" s="261"/>
      <c r="C71" s="262"/>
      <c r="D71" s="251"/>
      <c r="E71" s="252">
        <v>4</v>
      </c>
      <c r="F71" s="253"/>
      <c r="G71" s="254" t="str">
        <f>IF(ISBLANK(F71),"-",(F71/$D$50*$D$47*$B$68)*($B$57/$D$68))</f>
        <v>-</v>
      </c>
      <c r="H71" s="255" t="str">
        <f t="shared" si="0"/>
        <v>-</v>
      </c>
    </row>
    <row r="72" spans="1:8" ht="26.25" customHeight="1" x14ac:dyDescent="0.4">
      <c r="A72" s="209"/>
      <c r="B72" s="209"/>
      <c r="C72" s="209"/>
      <c r="D72" s="209"/>
      <c r="E72" s="209"/>
      <c r="F72" s="263" t="s">
        <v>68</v>
      </c>
      <c r="G72" s="264">
        <f>AVERAGE(G60:G71)</f>
        <v>782.73545332431706</v>
      </c>
      <c r="H72" s="265">
        <f>AVERAGE(H60:H71)</f>
        <v>97.841931665539633</v>
      </c>
    </row>
    <row r="73" spans="1:8" ht="26.25" customHeight="1" x14ac:dyDescent="0.4">
      <c r="C73" s="209"/>
      <c r="D73" s="209"/>
      <c r="E73" s="209"/>
      <c r="F73" s="266" t="s">
        <v>81</v>
      </c>
      <c r="G73" s="267">
        <f>STDEV(G60:G71)/G72</f>
        <v>5.9273771005268457E-3</v>
      </c>
      <c r="H73" s="267">
        <f>STDEV(H60:H71)/H72</f>
        <v>5.9273771005268457E-3</v>
      </c>
    </row>
    <row r="74" spans="1:8" ht="27" customHeight="1" thickBot="1" x14ac:dyDescent="0.45">
      <c r="A74" s="209"/>
      <c r="B74" s="209"/>
      <c r="C74" s="209"/>
      <c r="D74" s="209"/>
      <c r="E74" s="211"/>
      <c r="F74" s="268" t="s">
        <v>20</v>
      </c>
      <c r="G74" s="269">
        <f>COUNT(G60:G71)</f>
        <v>9</v>
      </c>
      <c r="H74" s="269">
        <f>COUNT(H60:H71)</f>
        <v>9</v>
      </c>
    </row>
    <row r="76" spans="1:8" ht="26.25" customHeight="1" x14ac:dyDescent="0.4">
      <c r="A76" s="151" t="s">
        <v>103</v>
      </c>
      <c r="B76" s="152" t="s">
        <v>104</v>
      </c>
      <c r="C76" s="270" t="str">
        <f>B26</f>
        <v>Sulfamethoxazole</v>
      </c>
      <c r="D76" s="270"/>
      <c r="E76" s="134" t="s">
        <v>105</v>
      </c>
      <c r="F76" s="134"/>
      <c r="G76" s="271">
        <f>H72</f>
        <v>97.841931665539633</v>
      </c>
      <c r="H76" s="161"/>
    </row>
    <row r="77" spans="1:8" ht="18.75" x14ac:dyDescent="0.3">
      <c r="A77" s="150" t="s">
        <v>106</v>
      </c>
      <c r="B77" s="150" t="s">
        <v>107</v>
      </c>
    </row>
    <row r="78" spans="1:8" ht="18.75" x14ac:dyDescent="0.3">
      <c r="A78" s="150"/>
      <c r="B78" s="150"/>
    </row>
    <row r="79" spans="1:8" ht="26.25" customHeight="1" x14ac:dyDescent="0.4">
      <c r="A79" s="151" t="s">
        <v>4</v>
      </c>
      <c r="B79" s="272" t="str">
        <f>B26</f>
        <v>Sulfamethoxazole</v>
      </c>
      <c r="C79" s="272"/>
    </row>
    <row r="80" spans="1:8" ht="26.25" customHeight="1" x14ac:dyDescent="0.4">
      <c r="A80" s="152" t="s">
        <v>45</v>
      </c>
      <c r="B80" s="272" t="str">
        <f>B27</f>
        <v>s12-6</v>
      </c>
      <c r="C80" s="272"/>
    </row>
    <row r="81" spans="1:12" ht="27" customHeight="1" thickBot="1" x14ac:dyDescent="0.45">
      <c r="A81" s="152" t="s">
        <v>6</v>
      </c>
      <c r="B81" s="154">
        <f>B28</f>
        <v>99.02</v>
      </c>
    </row>
    <row r="82" spans="1:12" s="159" customFormat="1" ht="27" customHeight="1" thickBot="1" x14ac:dyDescent="0.45">
      <c r="A82" s="152" t="s">
        <v>46</v>
      </c>
      <c r="B82" s="155">
        <v>0</v>
      </c>
      <c r="C82" s="156" t="s">
        <v>47</v>
      </c>
      <c r="D82" s="157"/>
      <c r="E82" s="157"/>
      <c r="F82" s="157"/>
      <c r="G82" s="158"/>
      <c r="I82" s="160"/>
      <c r="J82" s="160"/>
      <c r="K82" s="160"/>
      <c r="L82" s="160"/>
    </row>
    <row r="83" spans="1:12" s="159" customFormat="1" ht="19.5" customHeight="1" thickBot="1" x14ac:dyDescent="0.35">
      <c r="A83" s="152" t="s">
        <v>48</v>
      </c>
      <c r="B83" s="161">
        <f>B81-B82</f>
        <v>99.02</v>
      </c>
      <c r="C83" s="162"/>
      <c r="D83" s="162"/>
      <c r="E83" s="162"/>
      <c r="F83" s="162"/>
      <c r="G83" s="163"/>
      <c r="I83" s="160"/>
      <c r="J83" s="160"/>
      <c r="K83" s="160"/>
      <c r="L83" s="160"/>
    </row>
    <row r="84" spans="1:12" s="159" customFormat="1" ht="27" customHeight="1" thickBot="1" x14ac:dyDescent="0.45">
      <c r="A84" s="152" t="s">
        <v>49</v>
      </c>
      <c r="B84" s="164">
        <v>1</v>
      </c>
      <c r="C84" s="165" t="s">
        <v>108</v>
      </c>
      <c r="D84" s="166"/>
      <c r="E84" s="166"/>
      <c r="F84" s="166"/>
      <c r="G84" s="166"/>
      <c r="H84" s="167"/>
      <c r="I84" s="160"/>
      <c r="J84" s="160"/>
      <c r="K84" s="160"/>
      <c r="L84" s="160"/>
    </row>
    <row r="85" spans="1:12" s="159" customFormat="1" ht="27" customHeight="1" thickBot="1" x14ac:dyDescent="0.45">
      <c r="A85" s="152" t="s">
        <v>51</v>
      </c>
      <c r="B85" s="164">
        <v>1</v>
      </c>
      <c r="C85" s="165" t="s">
        <v>109</v>
      </c>
      <c r="D85" s="166"/>
      <c r="E85" s="166"/>
      <c r="F85" s="166"/>
      <c r="G85" s="166"/>
      <c r="H85" s="167"/>
      <c r="I85" s="160"/>
      <c r="J85" s="160"/>
      <c r="K85" s="160"/>
      <c r="L85" s="160"/>
    </row>
    <row r="86" spans="1:12" s="159" customFormat="1" ht="18.75" x14ac:dyDescent="0.3">
      <c r="A86" s="152"/>
      <c r="B86" s="170"/>
      <c r="C86" s="171"/>
      <c r="D86" s="171"/>
      <c r="E86" s="171"/>
      <c r="F86" s="171"/>
      <c r="G86" s="171"/>
      <c r="H86" s="171"/>
      <c r="I86" s="160"/>
      <c r="J86" s="160"/>
      <c r="K86" s="160"/>
      <c r="L86" s="160"/>
    </row>
    <row r="87" spans="1:12" s="159" customFormat="1" ht="18.75" x14ac:dyDescent="0.3">
      <c r="A87" s="152" t="s">
        <v>53</v>
      </c>
      <c r="B87" s="172">
        <f>B84/B85</f>
        <v>1</v>
      </c>
      <c r="C87" s="134" t="s">
        <v>54</v>
      </c>
      <c r="D87" s="134"/>
      <c r="E87" s="134"/>
      <c r="F87" s="134"/>
      <c r="G87" s="134"/>
      <c r="I87" s="160"/>
      <c r="J87" s="160"/>
      <c r="K87" s="160"/>
      <c r="L87" s="160"/>
    </row>
    <row r="88" spans="1:12" ht="19.5" customHeight="1" thickBot="1" x14ac:dyDescent="0.35">
      <c r="A88" s="150"/>
      <c r="B88" s="150"/>
    </row>
    <row r="89" spans="1:12" ht="27" customHeight="1" thickBot="1" x14ac:dyDescent="0.45">
      <c r="A89" s="173" t="s">
        <v>55</v>
      </c>
      <c r="B89" s="174">
        <v>100</v>
      </c>
      <c r="D89" s="273" t="s">
        <v>56</v>
      </c>
      <c r="E89" s="274"/>
      <c r="F89" s="175" t="s">
        <v>57</v>
      </c>
      <c r="G89" s="177"/>
    </row>
    <row r="90" spans="1:12" ht="27" customHeight="1" thickBot="1" x14ac:dyDescent="0.45">
      <c r="A90" s="178" t="s">
        <v>58</v>
      </c>
      <c r="B90" s="179">
        <v>1</v>
      </c>
      <c r="C90" s="275" t="s">
        <v>59</v>
      </c>
      <c r="D90" s="181" t="s">
        <v>60</v>
      </c>
      <c r="E90" s="182" t="s">
        <v>61</v>
      </c>
      <c r="F90" s="181" t="s">
        <v>60</v>
      </c>
      <c r="G90" s="276" t="s">
        <v>61</v>
      </c>
      <c r="I90" s="184" t="s">
        <v>62</v>
      </c>
    </row>
    <row r="91" spans="1:12" ht="26.25" customHeight="1" x14ac:dyDescent="0.4">
      <c r="A91" s="178" t="s">
        <v>63</v>
      </c>
      <c r="B91" s="179">
        <v>1</v>
      </c>
      <c r="C91" s="277">
        <v>1</v>
      </c>
      <c r="D91" s="186">
        <v>41948719</v>
      </c>
      <c r="E91" s="187">
        <f>IF(ISBLANK(D91),"-",$D$101/$D$98*D91)</f>
        <v>44068796.643882692</v>
      </c>
      <c r="F91" s="186">
        <v>40123112</v>
      </c>
      <c r="G91" s="188">
        <f>IF(ISBLANK(F91),"-",$D$101/$F$98*F91)</f>
        <v>44439191.23566965</v>
      </c>
      <c r="I91" s="189"/>
    </row>
    <row r="92" spans="1:12" ht="26.25" customHeight="1" x14ac:dyDescent="0.4">
      <c r="A92" s="178" t="s">
        <v>64</v>
      </c>
      <c r="B92" s="179">
        <v>1</v>
      </c>
      <c r="C92" s="209">
        <v>2</v>
      </c>
      <c r="D92" s="191">
        <v>42096409</v>
      </c>
      <c r="E92" s="192">
        <f>IF(ISBLANK(D92),"-",$D$101/$D$98*D92)</f>
        <v>44223950.85911236</v>
      </c>
      <c r="F92" s="191">
        <v>39814884</v>
      </c>
      <c r="G92" s="193">
        <f>IF(ISBLANK(F92),"-",$D$101/$F$98*F92)</f>
        <v>44097806.872557737</v>
      </c>
      <c r="I92" s="194">
        <f>ABS((F96/D96*D95)-F95)/D95</f>
        <v>3.0466719390612497E-3</v>
      </c>
    </row>
    <row r="93" spans="1:12" ht="26.25" customHeight="1" x14ac:dyDescent="0.4">
      <c r="A93" s="178" t="s">
        <v>65</v>
      </c>
      <c r="B93" s="179">
        <v>1</v>
      </c>
      <c r="C93" s="209">
        <v>3</v>
      </c>
      <c r="D93" s="191">
        <v>41804166</v>
      </c>
      <c r="E93" s="192">
        <f>IF(ISBLANK(D93),"-",$D$101/$D$98*D93)</f>
        <v>43916937.971839257</v>
      </c>
      <c r="F93" s="191">
        <v>39814475</v>
      </c>
      <c r="G93" s="193">
        <f>IF(ISBLANK(F93),"-",$D$101/$F$98*F93)</f>
        <v>44097353.876059972</v>
      </c>
      <c r="I93" s="194"/>
    </row>
    <row r="94" spans="1:12" ht="27" customHeight="1" thickBot="1" x14ac:dyDescent="0.45">
      <c r="A94" s="178" t="s">
        <v>66</v>
      </c>
      <c r="B94" s="179">
        <v>1</v>
      </c>
      <c r="C94" s="278">
        <v>4</v>
      </c>
      <c r="D94" s="196"/>
      <c r="E94" s="197" t="str">
        <f>IF(ISBLANK(D94),"-",$D$101/$D$98*D94)</f>
        <v>-</v>
      </c>
      <c r="F94" s="279"/>
      <c r="G94" s="198" t="str">
        <f>IF(ISBLANK(F94),"-",$D$101/$F$98*F94)</f>
        <v>-</v>
      </c>
      <c r="I94" s="199"/>
    </row>
    <row r="95" spans="1:12" ht="27" customHeight="1" thickBot="1" x14ac:dyDescent="0.45">
      <c r="A95" s="178" t="s">
        <v>67</v>
      </c>
      <c r="B95" s="179">
        <v>1</v>
      </c>
      <c r="C95" s="152" t="s">
        <v>68</v>
      </c>
      <c r="D95" s="280">
        <f>AVERAGE(D91:D94)</f>
        <v>41949764.666666664</v>
      </c>
      <c r="E95" s="202">
        <f>AVERAGE(E91:E94)</f>
        <v>44069895.1582781</v>
      </c>
      <c r="F95" s="281">
        <f>AVERAGE(F91:F94)</f>
        <v>39917490.333333336</v>
      </c>
      <c r="G95" s="282">
        <f>AVERAGE(G91:G94)</f>
        <v>44211450.661429115</v>
      </c>
    </row>
    <row r="96" spans="1:12" ht="26.25" customHeight="1" x14ac:dyDescent="0.4">
      <c r="A96" s="178" t="s">
        <v>69</v>
      </c>
      <c r="B96" s="154">
        <v>1</v>
      </c>
      <c r="C96" s="283" t="s">
        <v>110</v>
      </c>
      <c r="D96" s="284">
        <v>17.09</v>
      </c>
      <c r="E96" s="134"/>
      <c r="F96" s="206">
        <v>16.21</v>
      </c>
    </row>
    <row r="97" spans="1:10" ht="26.25" customHeight="1" x14ac:dyDescent="0.4">
      <c r="A97" s="178" t="s">
        <v>71</v>
      </c>
      <c r="B97" s="154">
        <v>1</v>
      </c>
      <c r="C97" s="285" t="s">
        <v>111</v>
      </c>
      <c r="D97" s="286">
        <f>D96*$B$87</f>
        <v>17.09</v>
      </c>
      <c r="E97" s="209"/>
      <c r="F97" s="208">
        <f>F96*$B$87</f>
        <v>16.21</v>
      </c>
    </row>
    <row r="98" spans="1:10" ht="19.5" customHeight="1" thickBot="1" x14ac:dyDescent="0.35">
      <c r="A98" s="178" t="s">
        <v>73</v>
      </c>
      <c r="B98" s="209">
        <f>(B97/B96)*(B95/B94)*(B93/B92)*(B91/B90)*B89</f>
        <v>100</v>
      </c>
      <c r="C98" s="285" t="s">
        <v>112</v>
      </c>
      <c r="D98" s="287">
        <f>D97*$B$83/100</f>
        <v>16.922518</v>
      </c>
      <c r="E98" s="211"/>
      <c r="F98" s="210">
        <f>F97*$B$83/100</f>
        <v>16.051141999999999</v>
      </c>
    </row>
    <row r="99" spans="1:10" ht="19.5" customHeight="1" thickBot="1" x14ac:dyDescent="0.35">
      <c r="A99" s="212" t="s">
        <v>75</v>
      </c>
      <c r="B99" s="288"/>
      <c r="C99" s="285" t="s">
        <v>113</v>
      </c>
      <c r="D99" s="289">
        <f>D98/$B$98</f>
        <v>0.16922518</v>
      </c>
      <c r="E99" s="211"/>
      <c r="F99" s="216">
        <f>F98/$B$98</f>
        <v>0.16051141999999999</v>
      </c>
      <c r="H99" s="204"/>
    </row>
    <row r="100" spans="1:10" ht="19.5" customHeight="1" thickBot="1" x14ac:dyDescent="0.35">
      <c r="A100" s="217"/>
      <c r="B100" s="290"/>
      <c r="C100" s="285" t="s">
        <v>77</v>
      </c>
      <c r="D100" s="291">
        <f>$B$56/$B$116</f>
        <v>0.17777777777777778</v>
      </c>
      <c r="F100" s="223"/>
      <c r="G100" s="292"/>
      <c r="H100" s="204"/>
    </row>
    <row r="101" spans="1:10" ht="18.75" x14ac:dyDescent="0.3">
      <c r="C101" s="285" t="s">
        <v>78</v>
      </c>
      <c r="D101" s="286">
        <f>D100*$B$98</f>
        <v>17.777777777777779</v>
      </c>
      <c r="F101" s="223"/>
      <c r="H101" s="204"/>
    </row>
    <row r="102" spans="1:10" ht="19.5" customHeight="1" thickBot="1" x14ac:dyDescent="0.35">
      <c r="C102" s="293" t="s">
        <v>79</v>
      </c>
      <c r="D102" s="294">
        <f>D101/B34</f>
        <v>17.777777777777779</v>
      </c>
      <c r="F102" s="227"/>
      <c r="H102" s="204"/>
      <c r="J102" s="295"/>
    </row>
    <row r="103" spans="1:10" ht="18.75" x14ac:dyDescent="0.3">
      <c r="C103" s="296" t="s">
        <v>114</v>
      </c>
      <c r="D103" s="297">
        <f>AVERAGE(E91:E94,G91:G94)</f>
        <v>44140672.909853607</v>
      </c>
      <c r="F103" s="227"/>
      <c r="G103" s="292"/>
      <c r="H103" s="204"/>
      <c r="J103" s="298"/>
    </row>
    <row r="104" spans="1:10" ht="18.75" x14ac:dyDescent="0.3">
      <c r="C104" s="266" t="s">
        <v>81</v>
      </c>
      <c r="D104" s="299">
        <f>STDEV(E91:E94,G91:G94)/D103</f>
        <v>3.9886160473408408E-3</v>
      </c>
      <c r="F104" s="227"/>
      <c r="H104" s="204"/>
      <c r="J104" s="298"/>
    </row>
    <row r="105" spans="1:10" ht="19.5" customHeight="1" thickBot="1" x14ac:dyDescent="0.35">
      <c r="C105" s="268" t="s">
        <v>20</v>
      </c>
      <c r="D105" s="300">
        <f>COUNT(E91:E94,G91:G94)</f>
        <v>6</v>
      </c>
      <c r="F105" s="227"/>
      <c r="H105" s="204"/>
      <c r="J105" s="298"/>
    </row>
    <row r="106" spans="1:10" ht="19.5" customHeight="1" thickBot="1" x14ac:dyDescent="0.35">
      <c r="A106" s="231"/>
      <c r="B106" s="231"/>
      <c r="C106" s="231"/>
      <c r="D106" s="231"/>
      <c r="E106" s="231"/>
    </row>
    <row r="107" spans="1:10" ht="27" customHeight="1" thickBot="1" x14ac:dyDescent="0.45">
      <c r="A107" s="173" t="s">
        <v>115</v>
      </c>
      <c r="B107" s="174">
        <v>900</v>
      </c>
      <c r="C107" s="237" t="s">
        <v>116</v>
      </c>
      <c r="D107" s="237" t="s">
        <v>60</v>
      </c>
      <c r="E107" s="237" t="s">
        <v>117</v>
      </c>
      <c r="F107" s="301" t="s">
        <v>118</v>
      </c>
    </row>
    <row r="108" spans="1:10" ht="26.25" customHeight="1" x14ac:dyDescent="0.4">
      <c r="A108" s="178" t="s">
        <v>119</v>
      </c>
      <c r="B108" s="179">
        <v>10</v>
      </c>
      <c r="C108" s="240">
        <v>1</v>
      </c>
      <c r="D108" s="302">
        <v>38214256</v>
      </c>
      <c r="E108" s="303">
        <f t="shared" ref="E108:E113" si="1">IF(ISBLANK(D108),"-",D108/$D$103*$D$100*$B$116)</f>
        <v>692.59036586131162</v>
      </c>
      <c r="F108" s="304">
        <f t="shared" ref="F108:F113" si="2">IF(ISBLANK(D108), "-", (E108/$B$56)*100)</f>
        <v>86.573795732663953</v>
      </c>
    </row>
    <row r="109" spans="1:10" ht="26.25" customHeight="1" x14ac:dyDescent="0.4">
      <c r="A109" s="178" t="s">
        <v>92</v>
      </c>
      <c r="B109" s="179">
        <v>50</v>
      </c>
      <c r="C109" s="246">
        <v>2</v>
      </c>
      <c r="D109" s="305">
        <v>38350582</v>
      </c>
      <c r="E109" s="306">
        <f t="shared" si="1"/>
        <v>695.06112112647793</v>
      </c>
      <c r="F109" s="307">
        <f t="shared" si="2"/>
        <v>86.882640140809741</v>
      </c>
    </row>
    <row r="110" spans="1:10" ht="26.25" customHeight="1" x14ac:dyDescent="0.4">
      <c r="A110" s="178" t="s">
        <v>93</v>
      </c>
      <c r="B110" s="179">
        <v>1</v>
      </c>
      <c r="C110" s="246">
        <v>3</v>
      </c>
      <c r="D110" s="305">
        <v>38365218</v>
      </c>
      <c r="E110" s="306">
        <f t="shared" si="1"/>
        <v>695.32638214830047</v>
      </c>
      <c r="F110" s="307">
        <f t="shared" si="2"/>
        <v>86.915797768537558</v>
      </c>
    </row>
    <row r="111" spans="1:10" ht="26.25" customHeight="1" x14ac:dyDescent="0.4">
      <c r="A111" s="178" t="s">
        <v>94</v>
      </c>
      <c r="B111" s="179">
        <v>1</v>
      </c>
      <c r="C111" s="246">
        <v>4</v>
      </c>
      <c r="D111" s="305">
        <v>38112196</v>
      </c>
      <c r="E111" s="306">
        <f t="shared" si="1"/>
        <v>690.74064326721464</v>
      </c>
      <c r="F111" s="307">
        <f t="shared" si="2"/>
        <v>86.34258040840183</v>
      </c>
    </row>
    <row r="112" spans="1:10" ht="26.25" customHeight="1" x14ac:dyDescent="0.4">
      <c r="A112" s="178" t="s">
        <v>95</v>
      </c>
      <c r="B112" s="179">
        <v>1</v>
      </c>
      <c r="C112" s="246">
        <v>5</v>
      </c>
      <c r="D112" s="305">
        <v>38421706</v>
      </c>
      <c r="E112" s="306">
        <f t="shared" si="1"/>
        <v>696.35016355037124</v>
      </c>
      <c r="F112" s="307">
        <f t="shared" si="2"/>
        <v>87.043770443796404</v>
      </c>
    </row>
    <row r="113" spans="1:10" ht="27" customHeight="1" thickBot="1" x14ac:dyDescent="0.45">
      <c r="A113" s="178" t="s">
        <v>97</v>
      </c>
      <c r="B113" s="179">
        <v>1</v>
      </c>
      <c r="C113" s="252">
        <v>6</v>
      </c>
      <c r="D113" s="308">
        <v>38404425</v>
      </c>
      <c r="E113" s="309">
        <f t="shared" si="1"/>
        <v>696.03696488146477</v>
      </c>
      <c r="F113" s="310">
        <f t="shared" si="2"/>
        <v>87.004620610183096</v>
      </c>
    </row>
    <row r="114" spans="1:10" ht="27" customHeight="1" thickBot="1" x14ac:dyDescent="0.45">
      <c r="A114" s="178" t="s">
        <v>98</v>
      </c>
      <c r="B114" s="179">
        <v>1</v>
      </c>
      <c r="C114" s="311"/>
      <c r="D114" s="209"/>
      <c r="E114" s="134"/>
      <c r="F114" s="307"/>
    </row>
    <row r="115" spans="1:10" ht="26.25" customHeight="1" x14ac:dyDescent="0.4">
      <c r="A115" s="178" t="s">
        <v>99</v>
      </c>
      <c r="B115" s="179">
        <v>1</v>
      </c>
      <c r="C115" s="311"/>
      <c r="D115" s="312" t="s">
        <v>68</v>
      </c>
      <c r="E115" s="313">
        <f>AVERAGE(E108:E113)</f>
        <v>694.35094013919013</v>
      </c>
      <c r="F115" s="314">
        <f>AVERAGE(F108:F113)</f>
        <v>86.793867517398766</v>
      </c>
    </row>
    <row r="116" spans="1:10" ht="27" customHeight="1" thickBot="1" x14ac:dyDescent="0.45">
      <c r="A116" s="178" t="s">
        <v>100</v>
      </c>
      <c r="B116" s="190">
        <f>(B115/B114)*(B113/B112)*(B111/B110)*(B109/B108)*B107</f>
        <v>4500</v>
      </c>
      <c r="C116" s="315"/>
      <c r="D116" s="316" t="s">
        <v>81</v>
      </c>
      <c r="E116" s="267">
        <f>STDEV(E108:E113)/E115</f>
        <v>3.183400875103702E-3</v>
      </c>
      <c r="F116" s="317">
        <f>STDEV(F108:F113)/F115</f>
        <v>3.183400875103702E-3</v>
      </c>
      <c r="I116" s="134"/>
    </row>
    <row r="117" spans="1:10" ht="27" customHeight="1" thickBot="1" x14ac:dyDescent="0.45">
      <c r="A117" s="212" t="s">
        <v>75</v>
      </c>
      <c r="B117" s="213"/>
      <c r="C117" s="318"/>
      <c r="D117" s="268" t="s">
        <v>20</v>
      </c>
      <c r="E117" s="319">
        <f>COUNT(E108:E113)</f>
        <v>6</v>
      </c>
      <c r="F117" s="320">
        <f>COUNT(F108:F113)</f>
        <v>6</v>
      </c>
      <c r="I117" s="134"/>
      <c r="J117" s="298"/>
    </row>
    <row r="118" spans="1:10" ht="26.25" customHeight="1" thickBot="1" x14ac:dyDescent="0.35">
      <c r="A118" s="217"/>
      <c r="B118" s="218"/>
      <c r="C118" s="134"/>
      <c r="D118" s="321"/>
      <c r="E118" s="322" t="s">
        <v>120</v>
      </c>
      <c r="F118" s="323"/>
      <c r="G118" s="134"/>
      <c r="H118" s="134"/>
      <c r="I118" s="134"/>
    </row>
    <row r="119" spans="1:10" ht="25.5" customHeight="1" x14ac:dyDescent="0.4">
      <c r="A119" s="324"/>
      <c r="B119" s="171"/>
      <c r="C119" s="134"/>
      <c r="D119" s="316" t="s">
        <v>121</v>
      </c>
      <c r="E119" s="325">
        <f>MIN(E108:E113)</f>
        <v>690.74064326721464</v>
      </c>
      <c r="F119" s="326">
        <f>MIN(F108:F113)</f>
        <v>86.34258040840183</v>
      </c>
      <c r="G119" s="134"/>
      <c r="H119" s="134"/>
      <c r="I119" s="134"/>
    </row>
    <row r="120" spans="1:10" ht="24" customHeight="1" thickBot="1" x14ac:dyDescent="0.45">
      <c r="A120" s="324"/>
      <c r="B120" s="171"/>
      <c r="C120" s="134"/>
      <c r="D120" s="224" t="s">
        <v>122</v>
      </c>
      <c r="E120" s="327">
        <f>MAX(E108:E113)</f>
        <v>696.35016355037124</v>
      </c>
      <c r="F120" s="328">
        <f>MAX(F108:F113)</f>
        <v>87.043770443796404</v>
      </c>
      <c r="G120" s="134"/>
      <c r="H120" s="134"/>
      <c r="I120" s="134"/>
    </row>
    <row r="121" spans="1:10" ht="27" customHeight="1" x14ac:dyDescent="0.3">
      <c r="A121" s="324"/>
      <c r="B121" s="171"/>
      <c r="C121" s="134"/>
      <c r="D121" s="134"/>
      <c r="E121" s="134"/>
      <c r="F121" s="209"/>
      <c r="G121" s="134"/>
      <c r="H121" s="134"/>
      <c r="I121" s="134"/>
    </row>
    <row r="122" spans="1:10" ht="25.5" customHeight="1" x14ac:dyDescent="0.3">
      <c r="A122" s="324"/>
      <c r="B122" s="171"/>
      <c r="C122" s="134"/>
      <c r="D122" s="134"/>
      <c r="E122" s="134"/>
      <c r="F122" s="209"/>
      <c r="G122" s="134"/>
      <c r="H122" s="134"/>
      <c r="I122" s="134"/>
    </row>
    <row r="123" spans="1:10" ht="18.75" x14ac:dyDescent="0.3">
      <c r="A123" s="324"/>
      <c r="B123" s="171"/>
      <c r="C123" s="134"/>
      <c r="D123" s="134"/>
      <c r="E123" s="134"/>
      <c r="F123" s="209"/>
      <c r="G123" s="134"/>
      <c r="H123" s="134"/>
      <c r="I123" s="134"/>
    </row>
    <row r="124" spans="1:10" ht="45.75" customHeight="1" x14ac:dyDescent="0.65">
      <c r="A124" s="151" t="s">
        <v>103</v>
      </c>
      <c r="B124" s="152" t="s">
        <v>123</v>
      </c>
      <c r="C124" s="270" t="str">
        <f>B26</f>
        <v>Sulfamethoxazole</v>
      </c>
      <c r="D124" s="270"/>
      <c r="E124" s="134" t="s">
        <v>124</v>
      </c>
      <c r="F124" s="134"/>
      <c r="G124" s="329">
        <f>F115</f>
        <v>86.793867517398766</v>
      </c>
      <c r="H124" s="134"/>
      <c r="I124" s="134"/>
    </row>
    <row r="125" spans="1:10" ht="45.75" customHeight="1" x14ac:dyDescent="0.65">
      <c r="A125" s="151"/>
      <c r="B125" s="152" t="s">
        <v>125</v>
      </c>
      <c r="C125" s="152" t="s">
        <v>126</v>
      </c>
      <c r="D125" s="329">
        <f>MIN(F108:F113)</f>
        <v>86.34258040840183</v>
      </c>
      <c r="E125" s="152" t="s">
        <v>127</v>
      </c>
      <c r="F125" s="329">
        <f>MAX(F108:F113)</f>
        <v>87.043770443796404</v>
      </c>
      <c r="G125" s="330"/>
      <c r="H125" s="134"/>
      <c r="I125" s="134"/>
    </row>
    <row r="126" spans="1:10" ht="19.5" customHeight="1" thickBot="1" x14ac:dyDescent="0.35">
      <c r="A126" s="331"/>
      <c r="B126" s="331"/>
      <c r="C126" s="332"/>
      <c r="D126" s="332"/>
      <c r="E126" s="332"/>
      <c r="F126" s="332"/>
      <c r="G126" s="332"/>
      <c r="H126" s="332"/>
    </row>
    <row r="127" spans="1:10" ht="18.75" x14ac:dyDescent="0.3">
      <c r="B127" s="333" t="s">
        <v>23</v>
      </c>
      <c r="C127" s="333"/>
      <c r="E127" s="275" t="s">
        <v>24</v>
      </c>
      <c r="F127" s="334"/>
      <c r="G127" s="333" t="s">
        <v>25</v>
      </c>
      <c r="H127" s="333"/>
    </row>
    <row r="128" spans="1:10" ht="69.95" customHeight="1" x14ac:dyDescent="0.3">
      <c r="A128" s="151" t="s">
        <v>26</v>
      </c>
      <c r="B128" s="335"/>
      <c r="C128" s="335"/>
      <c r="E128" s="335"/>
      <c r="F128" s="134"/>
      <c r="G128" s="335"/>
      <c r="H128" s="335"/>
    </row>
    <row r="129" spans="1:9" ht="69.95" customHeight="1" x14ac:dyDescent="0.3">
      <c r="A129" s="151" t="s">
        <v>27</v>
      </c>
      <c r="B129" s="336"/>
      <c r="C129" s="336"/>
      <c r="E129" s="336"/>
      <c r="F129" s="134"/>
      <c r="G129" s="337"/>
      <c r="H129" s="337"/>
    </row>
    <row r="130" spans="1:9" ht="18.75" x14ac:dyDescent="0.3">
      <c r="A130" s="209"/>
      <c r="B130" s="209"/>
      <c r="C130" s="209"/>
      <c r="D130" s="209"/>
      <c r="E130" s="209"/>
      <c r="F130" s="211"/>
      <c r="G130" s="209"/>
      <c r="H130" s="209"/>
      <c r="I130" s="134"/>
    </row>
    <row r="131" spans="1:9" ht="18.75" x14ac:dyDescent="0.3">
      <c r="A131" s="209"/>
      <c r="B131" s="209"/>
      <c r="C131" s="209"/>
      <c r="D131" s="209"/>
      <c r="E131" s="209"/>
      <c r="F131" s="211"/>
      <c r="G131" s="209"/>
      <c r="H131" s="209"/>
      <c r="I131" s="134"/>
    </row>
    <row r="132" spans="1:9" ht="18.75" x14ac:dyDescent="0.3">
      <c r="A132" s="209"/>
      <c r="B132" s="209"/>
      <c r="C132" s="209"/>
      <c r="D132" s="209"/>
      <c r="E132" s="209"/>
      <c r="F132" s="211"/>
      <c r="G132" s="209"/>
      <c r="H132" s="209"/>
      <c r="I132" s="134"/>
    </row>
    <row r="133" spans="1:9" ht="18.75" x14ac:dyDescent="0.3">
      <c r="A133" s="209"/>
      <c r="B133" s="209"/>
      <c r="C133" s="209"/>
      <c r="D133" s="209"/>
      <c r="E133" s="209"/>
      <c r="F133" s="211"/>
      <c r="G133" s="209"/>
      <c r="H133" s="209"/>
      <c r="I133" s="134"/>
    </row>
    <row r="134" spans="1:9" ht="18.75" x14ac:dyDescent="0.3">
      <c r="A134" s="209"/>
      <c r="B134" s="209"/>
      <c r="C134" s="209"/>
      <c r="D134" s="209"/>
      <c r="E134" s="209"/>
      <c r="F134" s="211"/>
      <c r="G134" s="209"/>
      <c r="H134" s="209"/>
      <c r="I134" s="134"/>
    </row>
    <row r="135" spans="1:9" ht="18.75" x14ac:dyDescent="0.3">
      <c r="A135" s="209"/>
      <c r="B135" s="209"/>
      <c r="C135" s="209"/>
      <c r="D135" s="209"/>
      <c r="E135" s="209"/>
      <c r="F135" s="211"/>
      <c r="G135" s="209"/>
      <c r="H135" s="209"/>
      <c r="I135" s="134"/>
    </row>
    <row r="136" spans="1:9" ht="18.75" x14ac:dyDescent="0.3">
      <c r="A136" s="209"/>
      <c r="B136" s="209"/>
      <c r="C136" s="209"/>
      <c r="D136" s="209"/>
      <c r="E136" s="209"/>
      <c r="F136" s="211"/>
      <c r="G136" s="209"/>
      <c r="H136" s="209"/>
      <c r="I136" s="134"/>
    </row>
    <row r="137" spans="1:9" ht="18.75" x14ac:dyDescent="0.3">
      <c r="A137" s="209"/>
      <c r="B137" s="209"/>
      <c r="C137" s="209"/>
      <c r="D137" s="209"/>
      <c r="E137" s="209"/>
      <c r="F137" s="211"/>
      <c r="G137" s="209"/>
      <c r="H137" s="209"/>
      <c r="I137" s="134"/>
    </row>
    <row r="138" spans="1:9" ht="18.75" x14ac:dyDescent="0.3">
      <c r="A138" s="209"/>
      <c r="B138" s="209"/>
      <c r="C138" s="209"/>
      <c r="D138" s="209"/>
      <c r="E138" s="209"/>
      <c r="F138" s="211"/>
      <c r="G138" s="209"/>
      <c r="H138" s="209"/>
      <c r="I138" s="134"/>
    </row>
    <row r="250" spans="1:1" x14ac:dyDescent="0.25">
      <c r="A250" s="132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9" zoomScale="44" zoomScaleNormal="40" zoomScalePageLayoutView="44" workbookViewId="0">
      <selection activeCell="B57" sqref="B57"/>
    </sheetView>
  </sheetViews>
  <sheetFormatPr defaultColWidth="9.140625" defaultRowHeight="13.5" x14ac:dyDescent="0.25"/>
  <cols>
    <col min="1" max="1" width="55.42578125" style="339" customWidth="1"/>
    <col min="2" max="2" width="33.7109375" style="339" customWidth="1"/>
    <col min="3" max="3" width="42.28515625" style="339" customWidth="1"/>
    <col min="4" max="4" width="30.5703125" style="339" customWidth="1"/>
    <col min="5" max="5" width="39.85546875" style="339" customWidth="1"/>
    <col min="6" max="6" width="30.7109375" style="339" customWidth="1"/>
    <col min="7" max="7" width="39.85546875" style="339" customWidth="1"/>
    <col min="8" max="8" width="30" style="339" customWidth="1"/>
    <col min="9" max="9" width="30.28515625" style="339" hidden="1" customWidth="1"/>
    <col min="10" max="10" width="30.42578125" style="339" customWidth="1"/>
    <col min="11" max="11" width="21.28515625" style="339" customWidth="1"/>
    <col min="12" max="12" width="9.140625" style="339"/>
    <col min="13" max="16384" width="9.140625" style="346"/>
  </cols>
  <sheetData>
    <row r="1" spans="1:9" ht="18.75" customHeight="1" x14ac:dyDescent="0.25">
      <c r="A1" s="338" t="s">
        <v>42</v>
      </c>
      <c r="B1" s="338"/>
      <c r="C1" s="338"/>
      <c r="D1" s="338"/>
      <c r="E1" s="338"/>
      <c r="F1" s="338"/>
      <c r="G1" s="338"/>
      <c r="H1" s="338"/>
      <c r="I1" s="338"/>
    </row>
    <row r="2" spans="1:9" ht="18.75" customHeight="1" x14ac:dyDescent="0.25">
      <c r="A2" s="338"/>
      <c r="B2" s="338"/>
      <c r="C2" s="338"/>
      <c r="D2" s="338"/>
      <c r="E2" s="338"/>
      <c r="F2" s="338"/>
      <c r="G2" s="338"/>
      <c r="H2" s="338"/>
      <c r="I2" s="338"/>
    </row>
    <row r="3" spans="1:9" ht="18.75" customHeight="1" x14ac:dyDescent="0.25">
      <c r="A3" s="338"/>
      <c r="B3" s="338"/>
      <c r="C3" s="338"/>
      <c r="D3" s="338"/>
      <c r="E3" s="338"/>
      <c r="F3" s="338"/>
      <c r="G3" s="338"/>
      <c r="H3" s="338"/>
      <c r="I3" s="338"/>
    </row>
    <row r="4" spans="1:9" ht="18.75" customHeight="1" x14ac:dyDescent="0.25">
      <c r="A4" s="338"/>
      <c r="B4" s="338"/>
      <c r="C4" s="338"/>
      <c r="D4" s="338"/>
      <c r="E4" s="338"/>
      <c r="F4" s="338"/>
      <c r="G4" s="338"/>
      <c r="H4" s="338"/>
      <c r="I4" s="338"/>
    </row>
    <row r="5" spans="1:9" ht="18.75" customHeight="1" x14ac:dyDescent="0.25">
      <c r="A5" s="338"/>
      <c r="B5" s="338"/>
      <c r="C5" s="338"/>
      <c r="D5" s="338"/>
      <c r="E5" s="338"/>
      <c r="F5" s="338"/>
      <c r="G5" s="338"/>
      <c r="H5" s="338"/>
      <c r="I5" s="338"/>
    </row>
    <row r="6" spans="1:9" ht="18.75" customHeight="1" x14ac:dyDescent="0.25">
      <c r="A6" s="338"/>
      <c r="B6" s="338"/>
      <c r="C6" s="338"/>
      <c r="D6" s="338"/>
      <c r="E6" s="338"/>
      <c r="F6" s="338"/>
      <c r="G6" s="338"/>
      <c r="H6" s="338"/>
      <c r="I6" s="338"/>
    </row>
    <row r="7" spans="1:9" ht="18.75" customHeight="1" x14ac:dyDescent="0.25">
      <c r="A7" s="338"/>
      <c r="B7" s="338"/>
      <c r="C7" s="338"/>
      <c r="D7" s="338"/>
      <c r="E7" s="338"/>
      <c r="F7" s="338"/>
      <c r="G7" s="338"/>
      <c r="H7" s="338"/>
      <c r="I7" s="338"/>
    </row>
    <row r="8" spans="1:9" x14ac:dyDescent="0.25">
      <c r="A8" s="340" t="s">
        <v>43</v>
      </c>
      <c r="B8" s="340"/>
      <c r="C8" s="340"/>
      <c r="D8" s="340"/>
      <c r="E8" s="340"/>
      <c r="F8" s="340"/>
      <c r="G8" s="340"/>
      <c r="H8" s="340"/>
      <c r="I8" s="340"/>
    </row>
    <row r="9" spans="1:9" x14ac:dyDescent="0.25">
      <c r="A9" s="340"/>
      <c r="B9" s="340"/>
      <c r="C9" s="340"/>
      <c r="D9" s="340"/>
      <c r="E9" s="340"/>
      <c r="F9" s="340"/>
      <c r="G9" s="340"/>
      <c r="H9" s="340"/>
      <c r="I9" s="340"/>
    </row>
    <row r="10" spans="1:9" x14ac:dyDescent="0.25">
      <c r="A10" s="340"/>
      <c r="B10" s="340"/>
      <c r="C10" s="340"/>
      <c r="D10" s="340"/>
      <c r="E10" s="340"/>
      <c r="F10" s="340"/>
      <c r="G10" s="340"/>
      <c r="H10" s="340"/>
      <c r="I10" s="340"/>
    </row>
    <row r="11" spans="1:9" x14ac:dyDescent="0.25">
      <c r="A11" s="340"/>
      <c r="B11" s="340"/>
      <c r="C11" s="340"/>
      <c r="D11" s="340"/>
      <c r="E11" s="340"/>
      <c r="F11" s="340"/>
      <c r="G11" s="340"/>
      <c r="H11" s="340"/>
      <c r="I11" s="340"/>
    </row>
    <row r="12" spans="1:9" x14ac:dyDescent="0.25">
      <c r="A12" s="340"/>
      <c r="B12" s="340"/>
      <c r="C12" s="340"/>
      <c r="D12" s="340"/>
      <c r="E12" s="340"/>
      <c r="F12" s="340"/>
      <c r="G12" s="340"/>
      <c r="H12" s="340"/>
      <c r="I12" s="340"/>
    </row>
    <row r="13" spans="1:9" x14ac:dyDescent="0.25">
      <c r="A13" s="340"/>
      <c r="B13" s="340"/>
      <c r="C13" s="340"/>
      <c r="D13" s="340"/>
      <c r="E13" s="340"/>
      <c r="F13" s="340"/>
      <c r="G13" s="340"/>
      <c r="H13" s="340"/>
      <c r="I13" s="340"/>
    </row>
    <row r="14" spans="1:9" x14ac:dyDescent="0.25">
      <c r="A14" s="340"/>
      <c r="B14" s="340"/>
      <c r="C14" s="340"/>
      <c r="D14" s="340"/>
      <c r="E14" s="340"/>
      <c r="F14" s="340"/>
      <c r="G14" s="340"/>
      <c r="H14" s="340"/>
      <c r="I14" s="340"/>
    </row>
    <row r="15" spans="1:9" ht="19.5" customHeight="1" thickBot="1" x14ac:dyDescent="0.35">
      <c r="A15" s="341"/>
    </row>
    <row r="16" spans="1:9" ht="19.5" customHeight="1" thickBot="1" x14ac:dyDescent="0.35">
      <c r="A16" s="342" t="s">
        <v>28</v>
      </c>
      <c r="B16" s="343"/>
      <c r="C16" s="343"/>
      <c r="D16" s="343"/>
      <c r="E16" s="343"/>
      <c r="F16" s="343"/>
      <c r="G16" s="343"/>
      <c r="H16" s="344"/>
    </row>
    <row r="17" spans="1:14" ht="20.25" customHeight="1" x14ac:dyDescent="0.25">
      <c r="A17" s="345" t="s">
        <v>44</v>
      </c>
      <c r="B17" s="345"/>
      <c r="C17" s="345"/>
      <c r="D17" s="345"/>
      <c r="E17" s="345"/>
      <c r="F17" s="345"/>
      <c r="G17" s="345"/>
      <c r="H17" s="345"/>
    </row>
    <row r="18" spans="1:14" ht="26.25" customHeight="1" x14ac:dyDescent="0.4">
      <c r="A18" s="347" t="s">
        <v>30</v>
      </c>
      <c r="B18" s="348" t="s">
        <v>142</v>
      </c>
      <c r="C18" s="348"/>
      <c r="D18" s="349"/>
      <c r="E18" s="350"/>
      <c r="F18" s="351"/>
      <c r="G18" s="351"/>
      <c r="H18" s="351"/>
    </row>
    <row r="19" spans="1:14" ht="26.25" customHeight="1" x14ac:dyDescent="0.4">
      <c r="A19" s="347" t="s">
        <v>31</v>
      </c>
      <c r="B19" s="352" t="s">
        <v>7</v>
      </c>
      <c r="C19" s="351">
        <v>1</v>
      </c>
      <c r="D19" s="351"/>
      <c r="E19" s="351"/>
      <c r="F19" s="351"/>
      <c r="G19" s="351"/>
      <c r="H19" s="351"/>
    </row>
    <row r="20" spans="1:14" ht="26.25" customHeight="1" x14ac:dyDescent="0.4">
      <c r="A20" s="347" t="s">
        <v>32</v>
      </c>
      <c r="B20" s="353" t="s">
        <v>143</v>
      </c>
      <c r="C20" s="353"/>
      <c r="D20" s="351"/>
      <c r="E20" s="351"/>
      <c r="F20" s="351"/>
      <c r="G20" s="351"/>
      <c r="H20" s="351"/>
    </row>
    <row r="21" spans="1:14" ht="26.25" customHeight="1" x14ac:dyDescent="0.4">
      <c r="A21" s="347" t="s">
        <v>33</v>
      </c>
      <c r="B21" s="353" t="s">
        <v>11</v>
      </c>
      <c r="C21" s="353"/>
      <c r="D21" s="353"/>
      <c r="E21" s="353"/>
      <c r="F21" s="353"/>
      <c r="G21" s="353"/>
      <c r="H21" s="353"/>
      <c r="I21" s="354"/>
    </row>
    <row r="22" spans="1:14" ht="26.25" customHeight="1" x14ac:dyDescent="0.4">
      <c r="A22" s="347" t="s">
        <v>34</v>
      </c>
      <c r="B22" s="355" t="s">
        <v>144</v>
      </c>
      <c r="C22" s="351"/>
      <c r="D22" s="351"/>
      <c r="E22" s="351"/>
      <c r="F22" s="351"/>
      <c r="G22" s="351"/>
      <c r="H22" s="351"/>
    </row>
    <row r="23" spans="1:14" ht="26.25" customHeight="1" x14ac:dyDescent="0.4">
      <c r="A23" s="347" t="s">
        <v>35</v>
      </c>
      <c r="B23" s="355"/>
      <c r="C23" s="351"/>
      <c r="D23" s="351"/>
      <c r="E23" s="351"/>
      <c r="F23" s="351"/>
      <c r="G23" s="351"/>
      <c r="H23" s="351"/>
    </row>
    <row r="24" spans="1:14" ht="18.75" x14ac:dyDescent="0.3">
      <c r="A24" s="347"/>
      <c r="B24" s="356"/>
    </row>
    <row r="25" spans="1:14" ht="18.75" x14ac:dyDescent="0.3">
      <c r="A25" s="357" t="s">
        <v>1</v>
      </c>
      <c r="B25" s="356"/>
    </row>
    <row r="26" spans="1:14" ht="26.25" customHeight="1" x14ac:dyDescent="0.4">
      <c r="A26" s="358" t="s">
        <v>4</v>
      </c>
      <c r="B26" s="348" t="s">
        <v>129</v>
      </c>
      <c r="C26" s="348"/>
    </row>
    <row r="27" spans="1:14" ht="26.25" customHeight="1" x14ac:dyDescent="0.4">
      <c r="A27" s="359" t="s">
        <v>45</v>
      </c>
      <c r="B27" s="360" t="s">
        <v>146</v>
      </c>
      <c r="C27" s="360"/>
    </row>
    <row r="28" spans="1:14" ht="27" customHeight="1" thickBot="1" x14ac:dyDescent="0.45">
      <c r="A28" s="359" t="s">
        <v>6</v>
      </c>
      <c r="B28" s="361">
        <v>99.75</v>
      </c>
    </row>
    <row r="29" spans="1:14" s="366" customFormat="1" ht="27" customHeight="1" thickBot="1" x14ac:dyDescent="0.45">
      <c r="A29" s="359" t="s">
        <v>46</v>
      </c>
      <c r="B29" s="362">
        <v>0</v>
      </c>
      <c r="C29" s="363" t="s">
        <v>47</v>
      </c>
      <c r="D29" s="364"/>
      <c r="E29" s="364"/>
      <c r="F29" s="364"/>
      <c r="G29" s="365"/>
      <c r="I29" s="367"/>
      <c r="J29" s="367"/>
      <c r="K29" s="367"/>
      <c r="L29" s="367"/>
    </row>
    <row r="30" spans="1:14" s="366" customFormat="1" ht="19.5" customHeight="1" thickBot="1" x14ac:dyDescent="0.35">
      <c r="A30" s="359" t="s">
        <v>48</v>
      </c>
      <c r="B30" s="368">
        <f>B28-B29</f>
        <v>99.75</v>
      </c>
      <c r="C30" s="369"/>
      <c r="D30" s="369"/>
      <c r="E30" s="369"/>
      <c r="F30" s="369"/>
      <c r="G30" s="370"/>
      <c r="I30" s="367"/>
      <c r="J30" s="367"/>
      <c r="K30" s="367"/>
      <c r="L30" s="367"/>
    </row>
    <row r="31" spans="1:14" s="366" customFormat="1" ht="27" customHeight="1" thickBot="1" x14ac:dyDescent="0.45">
      <c r="A31" s="359" t="s">
        <v>49</v>
      </c>
      <c r="B31" s="371">
        <v>1</v>
      </c>
      <c r="C31" s="372" t="s">
        <v>50</v>
      </c>
      <c r="D31" s="373"/>
      <c r="E31" s="373"/>
      <c r="F31" s="373"/>
      <c r="G31" s="373"/>
      <c r="H31" s="374"/>
      <c r="I31" s="367"/>
      <c r="J31" s="367"/>
      <c r="K31" s="367"/>
      <c r="L31" s="367"/>
    </row>
    <row r="32" spans="1:14" s="366" customFormat="1" ht="27" customHeight="1" thickBot="1" x14ac:dyDescent="0.45">
      <c r="A32" s="359" t="s">
        <v>51</v>
      </c>
      <c r="B32" s="371">
        <v>1</v>
      </c>
      <c r="C32" s="372" t="s">
        <v>52</v>
      </c>
      <c r="D32" s="373"/>
      <c r="E32" s="373"/>
      <c r="F32" s="373"/>
      <c r="G32" s="373"/>
      <c r="H32" s="374"/>
      <c r="I32" s="367"/>
      <c r="J32" s="367"/>
      <c r="K32" s="367"/>
      <c r="L32" s="375"/>
      <c r="M32" s="375"/>
      <c r="N32" s="376"/>
    </row>
    <row r="33" spans="1:14" s="366" customFormat="1" ht="17.25" customHeight="1" x14ac:dyDescent="0.3">
      <c r="A33" s="359"/>
      <c r="B33" s="377"/>
      <c r="C33" s="378"/>
      <c r="D33" s="378"/>
      <c r="E33" s="378"/>
      <c r="F33" s="378"/>
      <c r="G33" s="378"/>
      <c r="H33" s="378"/>
      <c r="I33" s="367"/>
      <c r="J33" s="367"/>
      <c r="K33" s="367"/>
      <c r="L33" s="375"/>
      <c r="M33" s="375"/>
      <c r="N33" s="376"/>
    </row>
    <row r="34" spans="1:14" s="366" customFormat="1" ht="18.75" x14ac:dyDescent="0.3">
      <c r="A34" s="359" t="s">
        <v>53</v>
      </c>
      <c r="B34" s="379">
        <f>B31/B32</f>
        <v>1</v>
      </c>
      <c r="C34" s="341" t="s">
        <v>54</v>
      </c>
      <c r="D34" s="341"/>
      <c r="E34" s="341"/>
      <c r="F34" s="341"/>
      <c r="G34" s="341"/>
      <c r="I34" s="367"/>
      <c r="J34" s="367"/>
      <c r="K34" s="367"/>
      <c r="L34" s="375"/>
      <c r="M34" s="375"/>
      <c r="N34" s="376"/>
    </row>
    <row r="35" spans="1:14" s="366" customFormat="1" ht="19.5" customHeight="1" thickBot="1" x14ac:dyDescent="0.35">
      <c r="A35" s="359"/>
      <c r="B35" s="368"/>
      <c r="G35" s="341"/>
      <c r="I35" s="367"/>
      <c r="J35" s="367"/>
      <c r="K35" s="367"/>
      <c r="L35" s="375"/>
      <c r="M35" s="375"/>
      <c r="N35" s="376"/>
    </row>
    <row r="36" spans="1:14" s="366" customFormat="1" ht="27" customHeight="1" thickBot="1" x14ac:dyDescent="0.45">
      <c r="A36" s="380" t="s">
        <v>55</v>
      </c>
      <c r="B36" s="381">
        <v>25</v>
      </c>
      <c r="C36" s="341"/>
      <c r="D36" s="382" t="s">
        <v>56</v>
      </c>
      <c r="E36" s="383"/>
      <c r="F36" s="382" t="s">
        <v>57</v>
      </c>
      <c r="G36" s="384"/>
      <c r="J36" s="367"/>
      <c r="K36" s="367"/>
      <c r="L36" s="375"/>
      <c r="M36" s="375"/>
      <c r="N36" s="376"/>
    </row>
    <row r="37" spans="1:14" s="366" customFormat="1" ht="27" customHeight="1" thickBot="1" x14ac:dyDescent="0.45">
      <c r="A37" s="385" t="s">
        <v>58</v>
      </c>
      <c r="B37" s="386">
        <v>4</v>
      </c>
      <c r="C37" s="387" t="s">
        <v>59</v>
      </c>
      <c r="D37" s="388" t="s">
        <v>60</v>
      </c>
      <c r="E37" s="389" t="s">
        <v>61</v>
      </c>
      <c r="F37" s="388" t="s">
        <v>60</v>
      </c>
      <c r="G37" s="390" t="s">
        <v>61</v>
      </c>
      <c r="I37" s="391" t="s">
        <v>62</v>
      </c>
      <c r="J37" s="367"/>
      <c r="K37" s="367"/>
      <c r="L37" s="375"/>
      <c r="M37" s="375"/>
      <c r="N37" s="376"/>
    </row>
    <row r="38" spans="1:14" s="366" customFormat="1" ht="26.25" customHeight="1" x14ac:dyDescent="0.4">
      <c r="A38" s="385" t="s">
        <v>63</v>
      </c>
      <c r="B38" s="386">
        <v>100</v>
      </c>
      <c r="C38" s="392">
        <v>1</v>
      </c>
      <c r="D38" s="393">
        <v>3504209</v>
      </c>
      <c r="E38" s="394">
        <f>IF(ISBLANK(D38),"-",$D$48/$D$45*D38)</f>
        <v>2805903.7369782282</v>
      </c>
      <c r="F38" s="393">
        <v>3377888</v>
      </c>
      <c r="G38" s="395">
        <f>IF(ISBLANK(F38),"-",$D$48/$F$45*F38)</f>
        <v>2816094.706621022</v>
      </c>
      <c r="I38" s="396"/>
      <c r="J38" s="367"/>
      <c r="K38" s="367"/>
      <c r="L38" s="375"/>
      <c r="M38" s="375"/>
      <c r="N38" s="376"/>
    </row>
    <row r="39" spans="1:14" s="366" customFormat="1" ht="26.25" customHeight="1" x14ac:dyDescent="0.4">
      <c r="A39" s="385" t="s">
        <v>64</v>
      </c>
      <c r="B39" s="386">
        <v>1</v>
      </c>
      <c r="C39" s="397">
        <v>2</v>
      </c>
      <c r="D39" s="398">
        <v>3519259</v>
      </c>
      <c r="E39" s="399">
        <f>IF(ISBLANK(D39),"-",$D$48/$D$45*D39)</f>
        <v>2817954.6309864116</v>
      </c>
      <c r="F39" s="398">
        <v>3353765</v>
      </c>
      <c r="G39" s="400">
        <f>IF(ISBLANK(F39),"-",$D$48/$F$45*F39)</f>
        <v>2795983.7222995115</v>
      </c>
      <c r="I39" s="401">
        <f>ABS((F43/D43*D42)-F42)/D42</f>
        <v>1.9695777794054891E-3</v>
      </c>
      <c r="J39" s="367"/>
      <c r="K39" s="367"/>
      <c r="L39" s="375"/>
      <c r="M39" s="375"/>
      <c r="N39" s="376"/>
    </row>
    <row r="40" spans="1:14" ht="26.25" customHeight="1" x14ac:dyDescent="0.4">
      <c r="A40" s="385" t="s">
        <v>65</v>
      </c>
      <c r="B40" s="386">
        <v>1</v>
      </c>
      <c r="C40" s="397">
        <v>3</v>
      </c>
      <c r="D40" s="398">
        <v>3496641</v>
      </c>
      <c r="E40" s="399">
        <f>IF(ISBLANK(D40),"-",$D$48/$D$45*D40)</f>
        <v>2799843.858848399</v>
      </c>
      <c r="F40" s="398">
        <v>3351805</v>
      </c>
      <c r="G40" s="400">
        <f>IF(ISBLANK(F40),"-",$D$48/$F$45*F40)</f>
        <v>2794349.6996128573</v>
      </c>
      <c r="I40" s="401"/>
      <c r="L40" s="375"/>
      <c r="M40" s="375"/>
      <c r="N40" s="341"/>
    </row>
    <row r="41" spans="1:14" ht="27" customHeight="1" thickBot="1" x14ac:dyDescent="0.45">
      <c r="A41" s="385" t="s">
        <v>66</v>
      </c>
      <c r="B41" s="386">
        <v>1</v>
      </c>
      <c r="C41" s="402">
        <v>4</v>
      </c>
      <c r="D41" s="403"/>
      <c r="E41" s="404" t="str">
        <f>IF(ISBLANK(D41),"-",$D$48/$D$45*D41)</f>
        <v>-</v>
      </c>
      <c r="F41" s="403"/>
      <c r="G41" s="405" t="str">
        <f>IF(ISBLANK(F41),"-",$D$48/$F$45*F41)</f>
        <v>-</v>
      </c>
      <c r="I41" s="406"/>
      <c r="L41" s="375"/>
      <c r="M41" s="375"/>
      <c r="N41" s="341"/>
    </row>
    <row r="42" spans="1:14" ht="27" customHeight="1" thickBot="1" x14ac:dyDescent="0.45">
      <c r="A42" s="385" t="s">
        <v>67</v>
      </c>
      <c r="B42" s="386">
        <v>1</v>
      </c>
      <c r="C42" s="407" t="s">
        <v>68</v>
      </c>
      <c r="D42" s="408">
        <f>AVERAGE(D38:D41)</f>
        <v>3506703</v>
      </c>
      <c r="E42" s="409">
        <f>AVERAGE(E38:E41)</f>
        <v>2807900.7422710131</v>
      </c>
      <c r="F42" s="408">
        <f>AVERAGE(F38:F41)</f>
        <v>3361152.6666666665</v>
      </c>
      <c r="G42" s="410">
        <f>AVERAGE(G38:G41)</f>
        <v>2802142.7095111306</v>
      </c>
      <c r="H42" s="411"/>
    </row>
    <row r="43" spans="1:14" ht="26.25" customHeight="1" x14ac:dyDescent="0.4">
      <c r="A43" s="385" t="s">
        <v>69</v>
      </c>
      <c r="B43" s="386">
        <v>1</v>
      </c>
      <c r="C43" s="412" t="s">
        <v>70</v>
      </c>
      <c r="D43" s="413">
        <v>25.04</v>
      </c>
      <c r="E43" s="341"/>
      <c r="F43" s="413">
        <v>24.05</v>
      </c>
      <c r="H43" s="411"/>
    </row>
    <row r="44" spans="1:14" ht="26.25" customHeight="1" x14ac:dyDescent="0.4">
      <c r="A44" s="385" t="s">
        <v>71</v>
      </c>
      <c r="B44" s="386">
        <v>1</v>
      </c>
      <c r="C44" s="414" t="s">
        <v>72</v>
      </c>
      <c r="D44" s="415">
        <f>D43*$B$34</f>
        <v>25.04</v>
      </c>
      <c r="E44" s="416"/>
      <c r="F44" s="415">
        <f>F43*$B$34</f>
        <v>24.05</v>
      </c>
      <c r="H44" s="411"/>
    </row>
    <row r="45" spans="1:14" ht="19.5" customHeight="1" thickBot="1" x14ac:dyDescent="0.35">
      <c r="A45" s="385" t="s">
        <v>73</v>
      </c>
      <c r="B45" s="397">
        <f>(B44/B43)*(B42/B41)*(B40/B39)*(B38/B37)*B36</f>
        <v>625</v>
      </c>
      <c r="C45" s="414" t="s">
        <v>74</v>
      </c>
      <c r="D45" s="417">
        <f>D44*$B$30/100</f>
        <v>24.977399999999999</v>
      </c>
      <c r="E45" s="418"/>
      <c r="F45" s="417">
        <f>F44*$B$30/100</f>
        <v>23.989875000000001</v>
      </c>
      <c r="H45" s="411"/>
    </row>
    <row r="46" spans="1:14" ht="19.5" customHeight="1" thickBot="1" x14ac:dyDescent="0.35">
      <c r="A46" s="419" t="s">
        <v>75</v>
      </c>
      <c r="B46" s="420"/>
      <c r="C46" s="414" t="s">
        <v>76</v>
      </c>
      <c r="D46" s="421">
        <f>D45/$B$45</f>
        <v>3.996384E-2</v>
      </c>
      <c r="E46" s="422"/>
      <c r="F46" s="423">
        <f>F45/$B$45</f>
        <v>3.8383800000000003E-2</v>
      </c>
      <c r="H46" s="411"/>
    </row>
    <row r="47" spans="1:14" ht="27" customHeight="1" thickBot="1" x14ac:dyDescent="0.45">
      <c r="A47" s="424"/>
      <c r="B47" s="425"/>
      <c r="C47" s="426" t="s">
        <v>77</v>
      </c>
      <c r="D47" s="427">
        <v>3.2000000000000001E-2</v>
      </c>
      <c r="E47" s="428"/>
      <c r="F47" s="422"/>
      <c r="H47" s="411"/>
    </row>
    <row r="48" spans="1:14" ht="18.75" x14ac:dyDescent="0.3">
      <c r="C48" s="429" t="s">
        <v>78</v>
      </c>
      <c r="D48" s="417">
        <f>D47*$B$45</f>
        <v>20</v>
      </c>
      <c r="F48" s="430"/>
      <c r="H48" s="411"/>
    </row>
    <row r="49" spans="1:12" ht="19.5" customHeight="1" thickBot="1" x14ac:dyDescent="0.35">
      <c r="C49" s="431" t="s">
        <v>79</v>
      </c>
      <c r="D49" s="432">
        <f>D48/B34</f>
        <v>20</v>
      </c>
      <c r="F49" s="430"/>
      <c r="H49" s="411"/>
    </row>
    <row r="50" spans="1:12" ht="18.75" x14ac:dyDescent="0.3">
      <c r="C50" s="380" t="s">
        <v>80</v>
      </c>
      <c r="D50" s="433">
        <f>AVERAGE(E38:E41,G38:G41)</f>
        <v>2805021.7258910718</v>
      </c>
      <c r="F50" s="434"/>
      <c r="H50" s="411"/>
    </row>
    <row r="51" spans="1:12" ht="18.75" x14ac:dyDescent="0.3">
      <c r="C51" s="385" t="s">
        <v>81</v>
      </c>
      <c r="D51" s="435">
        <f>STDEV(E38:E41,G38:G41)/D50</f>
        <v>3.6112124982808566E-3</v>
      </c>
      <c r="F51" s="434"/>
      <c r="H51" s="411"/>
    </row>
    <row r="52" spans="1:12" ht="19.5" customHeight="1" thickBot="1" x14ac:dyDescent="0.35">
      <c r="C52" s="436" t="s">
        <v>20</v>
      </c>
      <c r="D52" s="437">
        <f>COUNT(E38:E41,G38:G41)</f>
        <v>6</v>
      </c>
      <c r="F52" s="434"/>
    </row>
    <row r="54" spans="1:12" ht="18.75" x14ac:dyDescent="0.3">
      <c r="A54" s="438" t="s">
        <v>1</v>
      </c>
      <c r="B54" s="439" t="s">
        <v>82</v>
      </c>
    </row>
    <row r="55" spans="1:12" ht="18.75" x14ac:dyDescent="0.3">
      <c r="A55" s="341" t="s">
        <v>83</v>
      </c>
      <c r="B55" s="440" t="str">
        <f>B21</f>
        <v>Each tablet contains: Sulphamethoxazole BP 800 mg and Trimethoprim BP 160 mg.</v>
      </c>
    </row>
    <row r="56" spans="1:12" ht="26.25" customHeight="1" x14ac:dyDescent="0.4">
      <c r="A56" s="440" t="s">
        <v>84</v>
      </c>
      <c r="B56" s="441">
        <v>160</v>
      </c>
      <c r="C56" s="341" t="str">
        <f>B20</f>
        <v>each tablets contains sulphamethoxazole 800mg Trimethoprim 160mg.</v>
      </c>
      <c r="H56" s="416"/>
    </row>
    <row r="57" spans="1:12" ht="18.75" x14ac:dyDescent="0.3">
      <c r="A57" s="440" t="s">
        <v>85</v>
      </c>
      <c r="B57" s="442">
        <f>Uniformity!C46</f>
        <v>1042.1599999999999</v>
      </c>
      <c r="H57" s="416"/>
    </row>
    <row r="58" spans="1:12" ht="19.5" customHeight="1" thickBot="1" x14ac:dyDescent="0.35">
      <c r="H58" s="416"/>
    </row>
    <row r="59" spans="1:12" s="366" customFormat="1" ht="27" customHeight="1" thickBot="1" x14ac:dyDescent="0.45">
      <c r="A59" s="380" t="s">
        <v>86</v>
      </c>
      <c r="B59" s="381">
        <v>100</v>
      </c>
      <c r="C59" s="341"/>
      <c r="D59" s="443" t="s">
        <v>87</v>
      </c>
      <c r="E59" s="444" t="s">
        <v>59</v>
      </c>
      <c r="F59" s="444" t="s">
        <v>60</v>
      </c>
      <c r="G59" s="444" t="s">
        <v>88</v>
      </c>
      <c r="H59" s="387" t="s">
        <v>89</v>
      </c>
      <c r="L59" s="367"/>
    </row>
    <row r="60" spans="1:12" s="366" customFormat="1" ht="26.25" customHeight="1" x14ac:dyDescent="0.4">
      <c r="A60" s="385" t="s">
        <v>90</v>
      </c>
      <c r="B60" s="386">
        <v>2</v>
      </c>
      <c r="C60" s="445" t="s">
        <v>91</v>
      </c>
      <c r="D60" s="446">
        <f>Sulfamethoxazole!D60</f>
        <v>1033.44</v>
      </c>
      <c r="E60" s="447">
        <v>1</v>
      </c>
      <c r="F60" s="448">
        <v>2725863</v>
      </c>
      <c r="G60" s="449">
        <f>IF(ISBLANK(F60),"-",(F60/$D$50*$D$47*$B$68)*($B$57/$D$60))</f>
        <v>156.79669740141631</v>
      </c>
      <c r="H60" s="450">
        <f t="shared" ref="H60:H71" si="0">IF(ISBLANK(F60),"-",(G60/$B$56)*100)</f>
        <v>97.99793587588519</v>
      </c>
      <c r="L60" s="367"/>
    </row>
    <row r="61" spans="1:12" s="366" customFormat="1" ht="26.25" customHeight="1" x14ac:dyDescent="0.4">
      <c r="A61" s="385" t="s">
        <v>92</v>
      </c>
      <c r="B61" s="386">
        <v>100</v>
      </c>
      <c r="C61" s="451"/>
      <c r="D61" s="452"/>
      <c r="E61" s="453">
        <v>2</v>
      </c>
      <c r="F61" s="398">
        <v>2740756</v>
      </c>
      <c r="G61" s="454">
        <f>IF(ISBLANK(F61),"-",(F61/$D$50*$D$47*$B$68)*($B$57/$D$60))</f>
        <v>157.6533703942994</v>
      </c>
      <c r="H61" s="455">
        <f t="shared" si="0"/>
        <v>98.533356496437136</v>
      </c>
      <c r="L61" s="367"/>
    </row>
    <row r="62" spans="1:12" s="366" customFormat="1" ht="26.25" customHeight="1" x14ac:dyDescent="0.4">
      <c r="A62" s="385" t="s">
        <v>93</v>
      </c>
      <c r="B62" s="386">
        <v>1</v>
      </c>
      <c r="C62" s="451"/>
      <c r="D62" s="452"/>
      <c r="E62" s="453">
        <v>3</v>
      </c>
      <c r="F62" s="456">
        <v>2740263</v>
      </c>
      <c r="G62" s="454">
        <f>IF(ISBLANK(F62),"-",(F62/$D$50*$D$47*$B$68)*($B$57/$D$60))</f>
        <v>157.6250121195736</v>
      </c>
      <c r="H62" s="455">
        <f t="shared" si="0"/>
        <v>98.515632574733502</v>
      </c>
      <c r="L62" s="367"/>
    </row>
    <row r="63" spans="1:12" ht="27" customHeight="1" thickBot="1" x14ac:dyDescent="0.45">
      <c r="A63" s="385" t="s">
        <v>94</v>
      </c>
      <c r="B63" s="386">
        <v>1</v>
      </c>
      <c r="C63" s="457"/>
      <c r="D63" s="458"/>
      <c r="E63" s="459">
        <v>4</v>
      </c>
      <c r="F63" s="460"/>
      <c r="G63" s="454" t="str">
        <f>IF(ISBLANK(F63),"-",(F63/$D$50*$D$47*$B$68)*($B$57/$D$60))</f>
        <v>-</v>
      </c>
      <c r="H63" s="455" t="str">
        <f t="shared" si="0"/>
        <v>-</v>
      </c>
    </row>
    <row r="64" spans="1:12" ht="26.25" customHeight="1" x14ac:dyDescent="0.4">
      <c r="A64" s="385" t="s">
        <v>95</v>
      </c>
      <c r="B64" s="386">
        <v>1</v>
      </c>
      <c r="C64" s="445" t="s">
        <v>96</v>
      </c>
      <c r="D64" s="446">
        <f>Sulfamethoxazole!D64</f>
        <v>1045.25</v>
      </c>
      <c r="E64" s="447">
        <v>1</v>
      </c>
      <c r="F64" s="448">
        <v>2804198</v>
      </c>
      <c r="G64" s="449">
        <f>IF(ISBLANK(F64),"-",(F64/$D$50*$D$47*$B$68)*($B$57/$D$64))</f>
        <v>159.48015622695246</v>
      </c>
      <c r="H64" s="450">
        <f t="shared" si="0"/>
        <v>99.675097641845284</v>
      </c>
    </row>
    <row r="65" spans="1:8" ht="26.25" customHeight="1" x14ac:dyDescent="0.4">
      <c r="A65" s="385" t="s">
        <v>97</v>
      </c>
      <c r="B65" s="386">
        <v>1</v>
      </c>
      <c r="C65" s="451"/>
      <c r="D65" s="452"/>
      <c r="E65" s="453">
        <v>2</v>
      </c>
      <c r="F65" s="398">
        <v>2782040</v>
      </c>
      <c r="G65" s="454">
        <f>IF(ISBLANK(F65),"-",(F65/$D$50*$D$47*$B$68)*($B$57/$D$64))</f>
        <v>158.21998797147378</v>
      </c>
      <c r="H65" s="455">
        <f t="shared" si="0"/>
        <v>98.887492482171112</v>
      </c>
    </row>
    <row r="66" spans="1:8" ht="26.25" customHeight="1" x14ac:dyDescent="0.4">
      <c r="A66" s="385" t="s">
        <v>98</v>
      </c>
      <c r="B66" s="386">
        <v>1</v>
      </c>
      <c r="C66" s="451"/>
      <c r="D66" s="452"/>
      <c r="E66" s="453">
        <v>3</v>
      </c>
      <c r="F66" s="398">
        <v>2795241</v>
      </c>
      <c r="G66" s="454">
        <f>IF(ISBLANK(F66),"-",(F66/$D$50*$D$47*$B$68)*($B$57/$D$64))</f>
        <v>158.97075433759773</v>
      </c>
      <c r="H66" s="455">
        <f t="shared" si="0"/>
        <v>99.356721460998571</v>
      </c>
    </row>
    <row r="67" spans="1:8" ht="27" customHeight="1" thickBot="1" x14ac:dyDescent="0.45">
      <c r="A67" s="385" t="s">
        <v>99</v>
      </c>
      <c r="B67" s="386">
        <v>1</v>
      </c>
      <c r="C67" s="457"/>
      <c r="D67" s="458"/>
      <c r="E67" s="459">
        <v>4</v>
      </c>
      <c r="F67" s="460"/>
      <c r="G67" s="461" t="str">
        <f>IF(ISBLANK(F67),"-",(F67/$D$50*$D$47*$B$68)*($B$57/$D$64))</f>
        <v>-</v>
      </c>
      <c r="H67" s="462" t="str">
        <f t="shared" si="0"/>
        <v>-</v>
      </c>
    </row>
    <row r="68" spans="1:8" ht="26.25" customHeight="1" x14ac:dyDescent="0.4">
      <c r="A68" s="385" t="s">
        <v>100</v>
      </c>
      <c r="B68" s="463">
        <f>(B67/B66)*(B65/B64)*(B63/B62)*(B61/B60)*B59</f>
        <v>5000</v>
      </c>
      <c r="C68" s="445" t="s">
        <v>101</v>
      </c>
      <c r="D68" s="446">
        <f>Sulfamethoxazole!D68</f>
        <v>1053.04</v>
      </c>
      <c r="E68" s="447">
        <v>1</v>
      </c>
      <c r="F68" s="448">
        <v>2787075</v>
      </c>
      <c r="G68" s="449">
        <f>IF(ISBLANK(F68),"-",(F68/$D$50*$D$47*$B$68)*($B$57/$D$68))</f>
        <v>157.3337669481387</v>
      </c>
      <c r="H68" s="455">
        <f t="shared" si="0"/>
        <v>98.333604342586682</v>
      </c>
    </row>
    <row r="69" spans="1:8" ht="27" customHeight="1" thickBot="1" x14ac:dyDescent="0.45">
      <c r="A69" s="436" t="s">
        <v>102</v>
      </c>
      <c r="B69" s="464">
        <f>(D47*B68)/B56*B57</f>
        <v>1042.1599999999999</v>
      </c>
      <c r="C69" s="451"/>
      <c r="D69" s="452"/>
      <c r="E69" s="453">
        <v>2</v>
      </c>
      <c r="F69" s="398">
        <v>2798126</v>
      </c>
      <c r="G69" s="454">
        <f>IF(ISBLANK(F69),"-",(F69/$D$50*$D$47*$B$68)*($B$57/$D$68))</f>
        <v>157.95760931281993</v>
      </c>
      <c r="H69" s="455">
        <f t="shared" si="0"/>
        <v>98.723505820512457</v>
      </c>
    </row>
    <row r="70" spans="1:8" ht="26.25" customHeight="1" x14ac:dyDescent="0.4">
      <c r="A70" s="465" t="s">
        <v>75</v>
      </c>
      <c r="B70" s="466"/>
      <c r="C70" s="451"/>
      <c r="D70" s="452"/>
      <c r="E70" s="453">
        <v>3</v>
      </c>
      <c r="F70" s="398">
        <v>2781141</v>
      </c>
      <c r="G70" s="454">
        <f>IF(ISBLANK(F70),"-",(F70/$D$50*$D$47*$B$68)*($B$57/$D$68))</f>
        <v>156.99878544492466</v>
      </c>
      <c r="H70" s="455">
        <f t="shared" si="0"/>
        <v>98.124240903077919</v>
      </c>
    </row>
    <row r="71" spans="1:8" ht="27" customHeight="1" thickBot="1" x14ac:dyDescent="0.45">
      <c r="A71" s="467"/>
      <c r="B71" s="468"/>
      <c r="C71" s="469"/>
      <c r="D71" s="458"/>
      <c r="E71" s="459">
        <v>4</v>
      </c>
      <c r="F71" s="460"/>
      <c r="G71" s="461" t="str">
        <f>IF(ISBLANK(F71),"-",(F71/$D$50*$D$47*$B$68)*($B$57/$D$68))</f>
        <v>-</v>
      </c>
      <c r="H71" s="462" t="str">
        <f t="shared" si="0"/>
        <v>-</v>
      </c>
    </row>
    <row r="72" spans="1:8" ht="26.25" customHeight="1" x14ac:dyDescent="0.4">
      <c r="A72" s="416"/>
      <c r="B72" s="416"/>
      <c r="C72" s="416"/>
      <c r="D72" s="416"/>
      <c r="E72" s="416"/>
      <c r="F72" s="470" t="s">
        <v>68</v>
      </c>
      <c r="G72" s="471">
        <f>AVERAGE(G60:G71)</f>
        <v>157.89290446191069</v>
      </c>
      <c r="H72" s="472">
        <f>AVERAGE(H60:H71)</f>
        <v>98.683065288694195</v>
      </c>
    </row>
    <row r="73" spans="1:8" ht="26.25" customHeight="1" x14ac:dyDescent="0.4">
      <c r="C73" s="416"/>
      <c r="D73" s="416"/>
      <c r="E73" s="416"/>
      <c r="F73" s="473" t="s">
        <v>81</v>
      </c>
      <c r="G73" s="474">
        <f>STDEV(G60:G71)/G72</f>
        <v>5.5913595587964498E-3</v>
      </c>
      <c r="H73" s="474">
        <f>STDEV(H60:H71)/H72</f>
        <v>5.5913595587964307E-3</v>
      </c>
    </row>
    <row r="74" spans="1:8" ht="27" customHeight="1" thickBot="1" x14ac:dyDescent="0.45">
      <c r="A74" s="416"/>
      <c r="B74" s="416"/>
      <c r="C74" s="416"/>
      <c r="D74" s="416"/>
      <c r="E74" s="418"/>
      <c r="F74" s="475" t="s">
        <v>20</v>
      </c>
      <c r="G74" s="476">
        <f>COUNT(G60:G71)</f>
        <v>9</v>
      </c>
      <c r="H74" s="476">
        <f>COUNT(H60:H71)</f>
        <v>9</v>
      </c>
    </row>
    <row r="76" spans="1:8" ht="26.25" customHeight="1" x14ac:dyDescent="0.4">
      <c r="A76" s="358" t="s">
        <v>103</v>
      </c>
      <c r="B76" s="359" t="s">
        <v>104</v>
      </c>
      <c r="C76" s="477" t="str">
        <f>B26</f>
        <v>Trimethoprim</v>
      </c>
      <c r="D76" s="477"/>
      <c r="E76" s="341" t="s">
        <v>105</v>
      </c>
      <c r="F76" s="341"/>
      <c r="G76" s="478">
        <f>H72</f>
        <v>98.683065288694195</v>
      </c>
      <c r="H76" s="368"/>
    </row>
    <row r="77" spans="1:8" ht="18.75" x14ac:dyDescent="0.3">
      <c r="A77" s="357" t="s">
        <v>106</v>
      </c>
      <c r="B77" s="357" t="s">
        <v>107</v>
      </c>
    </row>
    <row r="78" spans="1:8" ht="18.75" x14ac:dyDescent="0.3">
      <c r="A78" s="357"/>
      <c r="B78" s="357"/>
    </row>
    <row r="79" spans="1:8" ht="26.25" customHeight="1" x14ac:dyDescent="0.4">
      <c r="A79" s="358" t="s">
        <v>4</v>
      </c>
      <c r="B79" s="479" t="str">
        <f>B26</f>
        <v>Trimethoprim</v>
      </c>
      <c r="C79" s="479"/>
    </row>
    <row r="80" spans="1:8" ht="26.25" customHeight="1" x14ac:dyDescent="0.4">
      <c r="A80" s="359" t="s">
        <v>45</v>
      </c>
      <c r="B80" s="479" t="str">
        <f>B27</f>
        <v>T7-5</v>
      </c>
      <c r="C80" s="479"/>
    </row>
    <row r="81" spans="1:12" ht="27" customHeight="1" thickBot="1" x14ac:dyDescent="0.45">
      <c r="A81" s="359" t="s">
        <v>6</v>
      </c>
      <c r="B81" s="361">
        <f>B28</f>
        <v>99.75</v>
      </c>
    </row>
    <row r="82" spans="1:12" s="366" customFormat="1" ht="27" customHeight="1" thickBot="1" x14ac:dyDescent="0.45">
      <c r="A82" s="359" t="s">
        <v>46</v>
      </c>
      <c r="B82" s="362">
        <v>0</v>
      </c>
      <c r="C82" s="363" t="s">
        <v>47</v>
      </c>
      <c r="D82" s="364"/>
      <c r="E82" s="364"/>
      <c r="F82" s="364"/>
      <c r="G82" s="365"/>
      <c r="I82" s="367"/>
      <c r="J82" s="367"/>
      <c r="K82" s="367"/>
      <c r="L82" s="367"/>
    </row>
    <row r="83" spans="1:12" s="366" customFormat="1" ht="19.5" customHeight="1" thickBot="1" x14ac:dyDescent="0.35">
      <c r="A83" s="359" t="s">
        <v>48</v>
      </c>
      <c r="B83" s="368">
        <f>B81-B82</f>
        <v>99.75</v>
      </c>
      <c r="C83" s="369"/>
      <c r="D83" s="369"/>
      <c r="E83" s="369"/>
      <c r="F83" s="369"/>
      <c r="G83" s="370"/>
      <c r="I83" s="367"/>
      <c r="J83" s="367"/>
      <c r="K83" s="367"/>
      <c r="L83" s="367"/>
    </row>
    <row r="84" spans="1:12" s="366" customFormat="1" ht="27" customHeight="1" thickBot="1" x14ac:dyDescent="0.45">
      <c r="A84" s="359" t="s">
        <v>49</v>
      </c>
      <c r="B84" s="371">
        <v>1</v>
      </c>
      <c r="C84" s="372" t="s">
        <v>108</v>
      </c>
      <c r="D84" s="373"/>
      <c r="E84" s="373"/>
      <c r="F84" s="373"/>
      <c r="G84" s="373"/>
      <c r="H84" s="374"/>
      <c r="I84" s="367"/>
      <c r="J84" s="367"/>
      <c r="K84" s="367"/>
      <c r="L84" s="367"/>
    </row>
    <row r="85" spans="1:12" s="366" customFormat="1" ht="27" customHeight="1" thickBot="1" x14ac:dyDescent="0.45">
      <c r="A85" s="359" t="s">
        <v>51</v>
      </c>
      <c r="B85" s="371">
        <v>1</v>
      </c>
      <c r="C85" s="372" t="s">
        <v>109</v>
      </c>
      <c r="D85" s="373"/>
      <c r="E85" s="373"/>
      <c r="F85" s="373"/>
      <c r="G85" s="373"/>
      <c r="H85" s="374"/>
      <c r="I85" s="367"/>
      <c r="J85" s="367"/>
      <c r="K85" s="367"/>
      <c r="L85" s="367"/>
    </row>
    <row r="86" spans="1:12" s="366" customFormat="1" ht="18.75" x14ac:dyDescent="0.3">
      <c r="A86" s="359"/>
      <c r="B86" s="377"/>
      <c r="C86" s="378"/>
      <c r="D86" s="378"/>
      <c r="E86" s="378"/>
      <c r="F86" s="378"/>
      <c r="G86" s="378"/>
      <c r="H86" s="378"/>
      <c r="I86" s="367"/>
      <c r="J86" s="367"/>
      <c r="K86" s="367"/>
      <c r="L86" s="367"/>
    </row>
    <row r="87" spans="1:12" s="366" customFormat="1" ht="18.75" x14ac:dyDescent="0.3">
      <c r="A87" s="359" t="s">
        <v>53</v>
      </c>
      <c r="B87" s="379">
        <f>B84/B85</f>
        <v>1</v>
      </c>
      <c r="C87" s="341" t="s">
        <v>54</v>
      </c>
      <c r="D87" s="341"/>
      <c r="E87" s="341"/>
      <c r="F87" s="341"/>
      <c r="G87" s="341"/>
      <c r="I87" s="367"/>
      <c r="J87" s="367"/>
      <c r="K87" s="367"/>
      <c r="L87" s="367"/>
    </row>
    <row r="88" spans="1:12" ht="19.5" customHeight="1" thickBot="1" x14ac:dyDescent="0.35">
      <c r="A88" s="357"/>
      <c r="B88" s="357"/>
    </row>
    <row r="89" spans="1:12" ht="27" customHeight="1" thickBot="1" x14ac:dyDescent="0.45">
      <c r="A89" s="380" t="s">
        <v>55</v>
      </c>
      <c r="B89" s="381">
        <v>25</v>
      </c>
      <c r="D89" s="480" t="s">
        <v>56</v>
      </c>
      <c r="E89" s="481"/>
      <c r="F89" s="382" t="s">
        <v>57</v>
      </c>
      <c r="G89" s="384"/>
    </row>
    <row r="90" spans="1:12" ht="27" customHeight="1" thickBot="1" x14ac:dyDescent="0.45">
      <c r="A90" s="385" t="s">
        <v>58</v>
      </c>
      <c r="B90" s="386">
        <v>4</v>
      </c>
      <c r="C90" s="482" t="s">
        <v>59</v>
      </c>
      <c r="D90" s="388" t="s">
        <v>60</v>
      </c>
      <c r="E90" s="389" t="s">
        <v>61</v>
      </c>
      <c r="F90" s="388" t="s">
        <v>60</v>
      </c>
      <c r="G90" s="483" t="s">
        <v>61</v>
      </c>
      <c r="I90" s="391" t="s">
        <v>62</v>
      </c>
    </row>
    <row r="91" spans="1:12" ht="26.25" customHeight="1" x14ac:dyDescent="0.4">
      <c r="A91" s="385" t="s">
        <v>63</v>
      </c>
      <c r="B91" s="386">
        <v>100</v>
      </c>
      <c r="C91" s="484">
        <v>1</v>
      </c>
      <c r="D91" s="393">
        <v>3504209</v>
      </c>
      <c r="E91" s="394">
        <f>IF(ISBLANK(D91),"-",$D$101/$D$98*D91)</f>
        <v>3117670.8188646981</v>
      </c>
      <c r="F91" s="393">
        <v>3377888</v>
      </c>
      <c r="G91" s="395">
        <f>IF(ISBLANK(F91),"-",$D$101/$F$98*F91)</f>
        <v>3128994.1184678022</v>
      </c>
      <c r="I91" s="396"/>
    </row>
    <row r="92" spans="1:12" ht="26.25" customHeight="1" x14ac:dyDescent="0.4">
      <c r="A92" s="385" t="s">
        <v>64</v>
      </c>
      <c r="B92" s="386">
        <v>1</v>
      </c>
      <c r="C92" s="416">
        <v>2</v>
      </c>
      <c r="D92" s="398">
        <v>3519259</v>
      </c>
      <c r="E92" s="399">
        <f>IF(ISBLANK(D92),"-",$D$101/$D$98*D92)</f>
        <v>3131060.7010960132</v>
      </c>
      <c r="F92" s="398">
        <v>3353765</v>
      </c>
      <c r="G92" s="400">
        <f>IF(ISBLANK(F92),"-",$D$101/$F$98*F92)</f>
        <v>3106648.5803327905</v>
      </c>
      <c r="I92" s="401">
        <f>ABS((F96/D96*D95)-F95)/D95</f>
        <v>1.9695777794054891E-3</v>
      </c>
    </row>
    <row r="93" spans="1:12" ht="26.25" customHeight="1" x14ac:dyDescent="0.4">
      <c r="A93" s="385" t="s">
        <v>65</v>
      </c>
      <c r="B93" s="386">
        <v>1</v>
      </c>
      <c r="C93" s="416">
        <v>3</v>
      </c>
      <c r="D93" s="398">
        <v>3496641</v>
      </c>
      <c r="E93" s="399">
        <f>IF(ISBLANK(D93),"-",$D$101/$D$98*D93)</f>
        <v>3110937.6209426653</v>
      </c>
      <c r="F93" s="398">
        <v>3351805</v>
      </c>
      <c r="G93" s="400">
        <f>IF(ISBLANK(F93),"-",$D$101/$F$98*F93)</f>
        <v>3104832.9995698412</v>
      </c>
      <c r="I93" s="401"/>
    </row>
    <row r="94" spans="1:12" ht="27" customHeight="1" thickBot="1" x14ac:dyDescent="0.45">
      <c r="A94" s="385" t="s">
        <v>66</v>
      </c>
      <c r="B94" s="386">
        <v>1</v>
      </c>
      <c r="C94" s="485">
        <v>4</v>
      </c>
      <c r="D94" s="403"/>
      <c r="E94" s="404" t="str">
        <f>IF(ISBLANK(D94),"-",$D$101/$D$98*D94)</f>
        <v>-</v>
      </c>
      <c r="F94" s="486"/>
      <c r="G94" s="405" t="str">
        <f>IF(ISBLANK(F94),"-",$D$101/$F$98*F94)</f>
        <v>-</v>
      </c>
      <c r="I94" s="406"/>
    </row>
    <row r="95" spans="1:12" ht="27" customHeight="1" thickBot="1" x14ac:dyDescent="0.45">
      <c r="A95" s="385" t="s">
        <v>67</v>
      </c>
      <c r="B95" s="386">
        <v>1</v>
      </c>
      <c r="C95" s="359" t="s">
        <v>68</v>
      </c>
      <c r="D95" s="487">
        <f>AVERAGE(D91:D94)</f>
        <v>3506703</v>
      </c>
      <c r="E95" s="409">
        <f>AVERAGE(E91:E94)</f>
        <v>3119889.7136344588</v>
      </c>
      <c r="F95" s="488">
        <f>AVERAGE(F91:F94)</f>
        <v>3361152.6666666665</v>
      </c>
      <c r="G95" s="489">
        <f>AVERAGE(G91:G94)</f>
        <v>3113491.8994568116</v>
      </c>
    </row>
    <row r="96" spans="1:12" ht="26.25" customHeight="1" x14ac:dyDescent="0.4">
      <c r="A96" s="385" t="s">
        <v>69</v>
      </c>
      <c r="B96" s="361">
        <v>1</v>
      </c>
      <c r="C96" s="490" t="s">
        <v>110</v>
      </c>
      <c r="D96" s="491">
        <v>25.04</v>
      </c>
      <c r="E96" s="341"/>
      <c r="F96" s="413">
        <v>24.05</v>
      </c>
    </row>
    <row r="97" spans="1:10" ht="26.25" customHeight="1" x14ac:dyDescent="0.4">
      <c r="A97" s="385" t="s">
        <v>71</v>
      </c>
      <c r="B97" s="361">
        <v>1</v>
      </c>
      <c r="C97" s="492" t="s">
        <v>111</v>
      </c>
      <c r="D97" s="493">
        <f>D96*$B$87</f>
        <v>25.04</v>
      </c>
      <c r="E97" s="416"/>
      <c r="F97" s="415">
        <f>F96*$B$87</f>
        <v>24.05</v>
      </c>
    </row>
    <row r="98" spans="1:10" ht="19.5" customHeight="1" thickBot="1" x14ac:dyDescent="0.35">
      <c r="A98" s="385" t="s">
        <v>73</v>
      </c>
      <c r="B98" s="416">
        <f>(B97/B96)*(B95/B94)*(B93/B92)*(B91/B90)*B89</f>
        <v>625</v>
      </c>
      <c r="C98" s="492" t="s">
        <v>112</v>
      </c>
      <c r="D98" s="494">
        <f>D97*$B$83/100</f>
        <v>24.977399999999999</v>
      </c>
      <c r="E98" s="418"/>
      <c r="F98" s="417">
        <f>F97*$B$83/100</f>
        <v>23.989875000000001</v>
      </c>
    </row>
    <row r="99" spans="1:10" ht="19.5" customHeight="1" thickBot="1" x14ac:dyDescent="0.35">
      <c r="A99" s="419" t="s">
        <v>75</v>
      </c>
      <c r="B99" s="495"/>
      <c r="C99" s="492" t="s">
        <v>113</v>
      </c>
      <c r="D99" s="496">
        <f>D98/$B$98</f>
        <v>3.996384E-2</v>
      </c>
      <c r="E99" s="418"/>
      <c r="F99" s="423">
        <f>F98/$B$98</f>
        <v>3.8383800000000003E-2</v>
      </c>
      <c r="H99" s="411"/>
    </row>
    <row r="100" spans="1:10" ht="19.5" customHeight="1" thickBot="1" x14ac:dyDescent="0.35">
      <c r="A100" s="424"/>
      <c r="B100" s="497"/>
      <c r="C100" s="492" t="s">
        <v>77</v>
      </c>
      <c r="D100" s="498">
        <f>$B$56/$B$116</f>
        <v>3.5555555555555556E-2</v>
      </c>
      <c r="F100" s="430"/>
      <c r="G100" s="499"/>
      <c r="H100" s="411"/>
    </row>
    <row r="101" spans="1:10" ht="18.75" x14ac:dyDescent="0.3">
      <c r="C101" s="492" t="s">
        <v>78</v>
      </c>
      <c r="D101" s="493">
        <f>D100*$B$98</f>
        <v>22.222222222222221</v>
      </c>
      <c r="F101" s="430"/>
      <c r="H101" s="411"/>
    </row>
    <row r="102" spans="1:10" ht="19.5" customHeight="1" thickBot="1" x14ac:dyDescent="0.35">
      <c r="C102" s="500" t="s">
        <v>79</v>
      </c>
      <c r="D102" s="501">
        <f>D101/B34</f>
        <v>22.222222222222221</v>
      </c>
      <c r="F102" s="434"/>
      <c r="H102" s="411"/>
      <c r="J102" s="502"/>
    </row>
    <row r="103" spans="1:10" ht="18.75" x14ac:dyDescent="0.3">
      <c r="C103" s="503" t="s">
        <v>114</v>
      </c>
      <c r="D103" s="504">
        <f>AVERAGE(E91:E94,G91:G94)</f>
        <v>3116690.8065456352</v>
      </c>
      <c r="F103" s="434"/>
      <c r="G103" s="499"/>
      <c r="H103" s="411"/>
      <c r="J103" s="505"/>
    </row>
    <row r="104" spans="1:10" ht="18.75" x14ac:dyDescent="0.3">
      <c r="C104" s="473" t="s">
        <v>81</v>
      </c>
      <c r="D104" s="506">
        <f>STDEV(E91:E94,G91:G94)/D103</f>
        <v>3.6112124982809156E-3</v>
      </c>
      <c r="F104" s="434"/>
      <c r="H104" s="411"/>
      <c r="J104" s="505"/>
    </row>
    <row r="105" spans="1:10" ht="19.5" customHeight="1" thickBot="1" x14ac:dyDescent="0.35">
      <c r="C105" s="475" t="s">
        <v>20</v>
      </c>
      <c r="D105" s="507">
        <f>COUNT(E91:E94,G91:G94)</f>
        <v>6</v>
      </c>
      <c r="F105" s="434"/>
      <c r="H105" s="411"/>
      <c r="J105" s="505"/>
    </row>
    <row r="106" spans="1:10" ht="19.5" customHeight="1" thickBot="1" x14ac:dyDescent="0.35">
      <c r="A106" s="438"/>
      <c r="B106" s="438"/>
      <c r="C106" s="438"/>
      <c r="D106" s="438"/>
      <c r="E106" s="438"/>
    </row>
    <row r="107" spans="1:10" ht="27" customHeight="1" thickBot="1" x14ac:dyDescent="0.45">
      <c r="A107" s="380" t="s">
        <v>115</v>
      </c>
      <c r="B107" s="381">
        <v>900</v>
      </c>
      <c r="C107" s="444" t="s">
        <v>116</v>
      </c>
      <c r="D107" s="444" t="s">
        <v>60</v>
      </c>
      <c r="E107" s="444" t="s">
        <v>117</v>
      </c>
      <c r="F107" s="508" t="s">
        <v>118</v>
      </c>
    </row>
    <row r="108" spans="1:10" ht="26.25" customHeight="1" x14ac:dyDescent="0.4">
      <c r="A108" s="385" t="s">
        <v>119</v>
      </c>
      <c r="B108" s="386">
        <v>10</v>
      </c>
      <c r="C108" s="447">
        <v>1</v>
      </c>
      <c r="D108" s="509">
        <v>2704922</v>
      </c>
      <c r="E108" s="510">
        <f t="shared" ref="E108:E113" si="1">IF(ISBLANK(D108),"-",D108/$D$103*$D$100*$B$116)</f>
        <v>138.86123034439765</v>
      </c>
      <c r="F108" s="511">
        <f t="shared" ref="F108:F113" si="2">IF(ISBLANK(D108), "-", (E108/$B$56)*100)</f>
        <v>86.788268965248534</v>
      </c>
    </row>
    <row r="109" spans="1:10" ht="26.25" customHeight="1" x14ac:dyDescent="0.4">
      <c r="A109" s="385" t="s">
        <v>92</v>
      </c>
      <c r="B109" s="386">
        <v>50</v>
      </c>
      <c r="C109" s="453">
        <v>2</v>
      </c>
      <c r="D109" s="512">
        <v>2713186</v>
      </c>
      <c r="E109" s="513">
        <f t="shared" si="1"/>
        <v>139.28547518678724</v>
      </c>
      <c r="F109" s="514">
        <f t="shared" si="2"/>
        <v>87.053421991742013</v>
      </c>
    </row>
    <row r="110" spans="1:10" ht="26.25" customHeight="1" x14ac:dyDescent="0.4">
      <c r="A110" s="385" t="s">
        <v>93</v>
      </c>
      <c r="B110" s="386">
        <v>1</v>
      </c>
      <c r="C110" s="453">
        <v>3</v>
      </c>
      <c r="D110" s="512">
        <v>2711511</v>
      </c>
      <c r="E110" s="513">
        <f t="shared" si="1"/>
        <v>139.19948654799217</v>
      </c>
      <c r="F110" s="514">
        <f t="shared" si="2"/>
        <v>86.999679092495114</v>
      </c>
    </row>
    <row r="111" spans="1:10" ht="26.25" customHeight="1" x14ac:dyDescent="0.4">
      <c r="A111" s="385" t="s">
        <v>94</v>
      </c>
      <c r="B111" s="386">
        <v>1</v>
      </c>
      <c r="C111" s="453">
        <v>4</v>
      </c>
      <c r="D111" s="512">
        <v>2690274</v>
      </c>
      <c r="E111" s="513">
        <f t="shared" si="1"/>
        <v>138.10925328107211</v>
      </c>
      <c r="F111" s="514">
        <f t="shared" si="2"/>
        <v>86.318283300670075</v>
      </c>
    </row>
    <row r="112" spans="1:10" ht="26.25" customHeight="1" x14ac:dyDescent="0.4">
      <c r="A112" s="385" t="s">
        <v>95</v>
      </c>
      <c r="B112" s="386">
        <v>1</v>
      </c>
      <c r="C112" s="453">
        <v>5</v>
      </c>
      <c r="D112" s="512">
        <v>2711258</v>
      </c>
      <c r="E112" s="513">
        <f t="shared" si="1"/>
        <v>139.18649841329653</v>
      </c>
      <c r="F112" s="514">
        <f t="shared" si="2"/>
        <v>86.991561508310326</v>
      </c>
    </row>
    <row r="113" spans="1:10" ht="27" customHeight="1" thickBot="1" x14ac:dyDescent="0.45">
      <c r="A113" s="385" t="s">
        <v>97</v>
      </c>
      <c r="B113" s="386">
        <v>1</v>
      </c>
      <c r="C113" s="459">
        <v>6</v>
      </c>
      <c r="D113" s="515">
        <v>2706667</v>
      </c>
      <c r="E113" s="516">
        <f t="shared" si="1"/>
        <v>138.95081253824688</v>
      </c>
      <c r="F113" s="517">
        <f t="shared" si="2"/>
        <v>86.84425783640431</v>
      </c>
    </row>
    <row r="114" spans="1:10" ht="27" customHeight="1" thickBot="1" x14ac:dyDescent="0.45">
      <c r="A114" s="385" t="s">
        <v>98</v>
      </c>
      <c r="B114" s="386">
        <v>1</v>
      </c>
      <c r="C114" s="518"/>
      <c r="D114" s="416"/>
      <c r="E114" s="341"/>
      <c r="F114" s="514"/>
    </row>
    <row r="115" spans="1:10" ht="26.25" customHeight="1" x14ac:dyDescent="0.4">
      <c r="A115" s="385" t="s">
        <v>99</v>
      </c>
      <c r="B115" s="386">
        <v>1</v>
      </c>
      <c r="C115" s="518"/>
      <c r="D115" s="519" t="s">
        <v>68</v>
      </c>
      <c r="E115" s="520">
        <f>AVERAGE(E108:E113)</f>
        <v>138.93212605196544</v>
      </c>
      <c r="F115" s="521">
        <f>AVERAGE(F108:F113)</f>
        <v>86.832578782478393</v>
      </c>
    </row>
    <row r="116" spans="1:10" ht="27" customHeight="1" thickBot="1" x14ac:dyDescent="0.45">
      <c r="A116" s="385" t="s">
        <v>100</v>
      </c>
      <c r="B116" s="397">
        <f>(B115/B114)*(B113/B112)*(B111/B110)*(B109/B108)*B107</f>
        <v>4500</v>
      </c>
      <c r="C116" s="522"/>
      <c r="D116" s="523" t="s">
        <v>81</v>
      </c>
      <c r="E116" s="474">
        <f>STDEV(E108:E113)/E115</f>
        <v>3.1267409763417711E-3</v>
      </c>
      <c r="F116" s="524">
        <f>STDEV(F108:F113)/F115</f>
        <v>3.1267409763417425E-3</v>
      </c>
      <c r="I116" s="341"/>
    </row>
    <row r="117" spans="1:10" ht="27" customHeight="1" thickBot="1" x14ac:dyDescent="0.45">
      <c r="A117" s="419" t="s">
        <v>75</v>
      </c>
      <c r="B117" s="420"/>
      <c r="C117" s="525"/>
      <c r="D117" s="475" t="s">
        <v>20</v>
      </c>
      <c r="E117" s="526">
        <f>COUNT(E108:E113)</f>
        <v>6</v>
      </c>
      <c r="F117" s="527">
        <f>COUNT(F108:F113)</f>
        <v>6</v>
      </c>
      <c r="I117" s="341"/>
      <c r="J117" s="505"/>
    </row>
    <row r="118" spans="1:10" ht="26.25" customHeight="1" thickBot="1" x14ac:dyDescent="0.35">
      <c r="A118" s="424"/>
      <c r="B118" s="425"/>
      <c r="C118" s="341"/>
      <c r="D118" s="528"/>
      <c r="E118" s="529" t="s">
        <v>120</v>
      </c>
      <c r="F118" s="530"/>
      <c r="G118" s="341"/>
      <c r="H118" s="341"/>
      <c r="I118" s="341"/>
    </row>
    <row r="119" spans="1:10" ht="25.5" customHeight="1" x14ac:dyDescent="0.4">
      <c r="A119" s="531"/>
      <c r="B119" s="378"/>
      <c r="C119" s="341"/>
      <c r="D119" s="523" t="s">
        <v>121</v>
      </c>
      <c r="E119" s="532">
        <f>MIN(E108:E113)</f>
        <v>138.10925328107211</v>
      </c>
      <c r="F119" s="533">
        <f>MIN(F108:F113)</f>
        <v>86.318283300670075</v>
      </c>
      <c r="G119" s="341"/>
      <c r="H119" s="341"/>
      <c r="I119" s="341"/>
    </row>
    <row r="120" spans="1:10" ht="24" customHeight="1" thickBot="1" x14ac:dyDescent="0.45">
      <c r="A120" s="531"/>
      <c r="B120" s="378"/>
      <c r="C120" s="341"/>
      <c r="D120" s="431" t="s">
        <v>122</v>
      </c>
      <c r="E120" s="534">
        <f>MAX(E108:E113)</f>
        <v>139.28547518678724</v>
      </c>
      <c r="F120" s="535">
        <f>MAX(F108:F113)</f>
        <v>87.053421991742013</v>
      </c>
      <c r="G120" s="341"/>
      <c r="H120" s="341"/>
      <c r="I120" s="341"/>
    </row>
    <row r="121" spans="1:10" ht="27" customHeight="1" x14ac:dyDescent="0.3">
      <c r="A121" s="531"/>
      <c r="B121" s="378"/>
      <c r="C121" s="341"/>
      <c r="D121" s="341"/>
      <c r="E121" s="341"/>
      <c r="F121" s="416"/>
      <c r="G121" s="341"/>
      <c r="H121" s="341"/>
      <c r="I121" s="341"/>
    </row>
    <row r="122" spans="1:10" ht="25.5" customHeight="1" x14ac:dyDescent="0.3">
      <c r="A122" s="531"/>
      <c r="B122" s="378"/>
      <c r="C122" s="341"/>
      <c r="D122" s="341"/>
      <c r="E122" s="341"/>
      <c r="F122" s="416"/>
      <c r="G122" s="341"/>
      <c r="H122" s="341"/>
      <c r="I122" s="341"/>
    </row>
    <row r="123" spans="1:10" ht="18.75" x14ac:dyDescent="0.3">
      <c r="A123" s="531"/>
      <c r="B123" s="378"/>
      <c r="C123" s="341"/>
      <c r="D123" s="341"/>
      <c r="E123" s="341"/>
      <c r="F123" s="416"/>
      <c r="G123" s="341"/>
      <c r="H123" s="341"/>
      <c r="I123" s="341"/>
    </row>
    <row r="124" spans="1:10" ht="45.75" customHeight="1" x14ac:dyDescent="0.65">
      <c r="A124" s="358" t="s">
        <v>103</v>
      </c>
      <c r="B124" s="359" t="s">
        <v>123</v>
      </c>
      <c r="C124" s="477" t="str">
        <f>B26</f>
        <v>Trimethoprim</v>
      </c>
      <c r="D124" s="477"/>
      <c r="E124" s="341" t="s">
        <v>124</v>
      </c>
      <c r="F124" s="341"/>
      <c r="G124" s="536">
        <f>F115</f>
        <v>86.832578782478393</v>
      </c>
      <c r="H124" s="341"/>
      <c r="I124" s="341"/>
    </row>
    <row r="125" spans="1:10" ht="45.75" customHeight="1" x14ac:dyDescent="0.65">
      <c r="A125" s="358"/>
      <c r="B125" s="359" t="s">
        <v>125</v>
      </c>
      <c r="C125" s="359" t="s">
        <v>126</v>
      </c>
      <c r="D125" s="536">
        <f>MIN(F108:F113)</f>
        <v>86.318283300670075</v>
      </c>
      <c r="E125" s="359" t="s">
        <v>127</v>
      </c>
      <c r="F125" s="536">
        <f>MAX(F108:F113)</f>
        <v>87.053421991742013</v>
      </c>
      <c r="G125" s="537"/>
      <c r="H125" s="341"/>
      <c r="I125" s="341"/>
    </row>
    <row r="126" spans="1:10" ht="19.5" customHeight="1" thickBot="1" x14ac:dyDescent="0.35">
      <c r="A126" s="538"/>
      <c r="B126" s="538"/>
      <c r="C126" s="539"/>
      <c r="D126" s="539"/>
      <c r="E126" s="539"/>
      <c r="F126" s="539"/>
      <c r="G126" s="539"/>
      <c r="H126" s="539"/>
    </row>
    <row r="127" spans="1:10" ht="18.75" x14ac:dyDescent="0.3">
      <c r="B127" s="540" t="s">
        <v>23</v>
      </c>
      <c r="C127" s="540"/>
      <c r="E127" s="482" t="s">
        <v>24</v>
      </c>
      <c r="F127" s="541"/>
      <c r="G127" s="540" t="s">
        <v>25</v>
      </c>
      <c r="H127" s="540"/>
    </row>
    <row r="128" spans="1:10" ht="69.95" customHeight="1" x14ac:dyDescent="0.3">
      <c r="A128" s="358" t="s">
        <v>26</v>
      </c>
      <c r="B128" s="542"/>
      <c r="C128" s="542"/>
      <c r="E128" s="542"/>
      <c r="F128" s="341"/>
      <c r="G128" s="542"/>
      <c r="H128" s="542"/>
    </row>
    <row r="129" spans="1:9" ht="69.95" customHeight="1" x14ac:dyDescent="0.3">
      <c r="A129" s="358" t="s">
        <v>27</v>
      </c>
      <c r="B129" s="543"/>
      <c r="C129" s="543"/>
      <c r="E129" s="543"/>
      <c r="F129" s="341"/>
      <c r="G129" s="544"/>
      <c r="H129" s="544"/>
    </row>
    <row r="130" spans="1:9" ht="18.75" x14ac:dyDescent="0.3">
      <c r="A130" s="416"/>
      <c r="B130" s="416"/>
      <c r="C130" s="416"/>
      <c r="D130" s="416"/>
      <c r="E130" s="416"/>
      <c r="F130" s="418"/>
      <c r="G130" s="416"/>
      <c r="H130" s="416"/>
      <c r="I130" s="341"/>
    </row>
    <row r="131" spans="1:9" ht="18.75" x14ac:dyDescent="0.3">
      <c r="A131" s="416"/>
      <c r="B131" s="416"/>
      <c r="C131" s="416"/>
      <c r="D131" s="416"/>
      <c r="E131" s="416"/>
      <c r="F131" s="418"/>
      <c r="G131" s="416"/>
      <c r="H131" s="416"/>
      <c r="I131" s="341"/>
    </row>
    <row r="132" spans="1:9" ht="18.75" x14ac:dyDescent="0.3">
      <c r="A132" s="416"/>
      <c r="B132" s="416"/>
      <c r="C132" s="416"/>
      <c r="D132" s="416"/>
      <c r="E132" s="416"/>
      <c r="F132" s="418"/>
      <c r="G132" s="416"/>
      <c r="H132" s="416"/>
      <c r="I132" s="341"/>
    </row>
    <row r="133" spans="1:9" ht="18.75" x14ac:dyDescent="0.3">
      <c r="A133" s="416"/>
      <c r="B133" s="416"/>
      <c r="C133" s="416"/>
      <c r="D133" s="416"/>
      <c r="E133" s="416"/>
      <c r="F133" s="418"/>
      <c r="G133" s="416"/>
      <c r="H133" s="416"/>
      <c r="I133" s="341"/>
    </row>
    <row r="134" spans="1:9" ht="18.75" x14ac:dyDescent="0.3">
      <c r="A134" s="416"/>
      <c r="B134" s="416"/>
      <c r="C134" s="416"/>
      <c r="D134" s="416"/>
      <c r="E134" s="416"/>
      <c r="F134" s="418"/>
      <c r="G134" s="416"/>
      <c r="H134" s="416"/>
      <c r="I134" s="341"/>
    </row>
    <row r="135" spans="1:9" ht="18.75" x14ac:dyDescent="0.3">
      <c r="A135" s="416"/>
      <c r="B135" s="416"/>
      <c r="C135" s="416"/>
      <c r="D135" s="416"/>
      <c r="E135" s="416"/>
      <c r="F135" s="418"/>
      <c r="G135" s="416"/>
      <c r="H135" s="416"/>
      <c r="I135" s="341"/>
    </row>
    <row r="136" spans="1:9" ht="18.75" x14ac:dyDescent="0.3">
      <c r="A136" s="416"/>
      <c r="B136" s="416"/>
      <c r="C136" s="416"/>
      <c r="D136" s="416"/>
      <c r="E136" s="416"/>
      <c r="F136" s="418"/>
      <c r="G136" s="416"/>
      <c r="H136" s="416"/>
      <c r="I136" s="341"/>
    </row>
    <row r="137" spans="1:9" ht="18.75" x14ac:dyDescent="0.3">
      <c r="A137" s="416"/>
      <c r="B137" s="416"/>
      <c r="C137" s="416"/>
      <c r="D137" s="416"/>
      <c r="E137" s="416"/>
      <c r="F137" s="418"/>
      <c r="G137" s="416"/>
      <c r="H137" s="416"/>
      <c r="I137" s="341"/>
    </row>
    <row r="138" spans="1:9" ht="18.75" x14ac:dyDescent="0.3">
      <c r="A138" s="416"/>
      <c r="B138" s="416"/>
      <c r="C138" s="416"/>
      <c r="D138" s="416"/>
      <c r="E138" s="416"/>
      <c r="F138" s="418"/>
      <c r="G138" s="416"/>
      <c r="H138" s="416"/>
      <c r="I138" s="341"/>
    </row>
    <row r="250" spans="1:1" x14ac:dyDescent="0.25">
      <c r="A250" s="339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F46" sqref="F4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" t="s">
        <v>28</v>
      </c>
      <c r="B11" s="52"/>
      <c r="C11" s="52"/>
      <c r="D11" s="52"/>
      <c r="E11" s="52"/>
      <c r="F11" s="53"/>
      <c r="G11" s="41"/>
    </row>
    <row r="12" spans="1:7" ht="16.5" customHeight="1" x14ac:dyDescent="0.3">
      <c r="A12" s="50" t="s">
        <v>29</v>
      </c>
      <c r="B12" s="50"/>
      <c r="C12" s="50"/>
      <c r="D12" s="50"/>
      <c r="E12" s="50"/>
      <c r="F12" s="50"/>
      <c r="G12" s="40"/>
    </row>
    <row r="14" spans="1:7" ht="16.5" customHeight="1" x14ac:dyDescent="0.3">
      <c r="A14" s="55" t="s">
        <v>30</v>
      </c>
      <c r="B14" s="55"/>
      <c r="C14" s="10" t="s">
        <v>5</v>
      </c>
    </row>
    <row r="15" spans="1:7" ht="16.5" customHeight="1" x14ac:dyDescent="0.3">
      <c r="A15" s="55" t="s">
        <v>31</v>
      </c>
      <c r="B15" s="55"/>
      <c r="C15" s="10" t="s">
        <v>7</v>
      </c>
    </row>
    <row r="16" spans="1:7" ht="16.5" customHeight="1" x14ac:dyDescent="0.3">
      <c r="A16" s="55" t="s">
        <v>32</v>
      </c>
      <c r="B16" s="55"/>
      <c r="C16" s="10" t="s">
        <v>9</v>
      </c>
    </row>
    <row r="17" spans="1:5" ht="16.5" customHeight="1" x14ac:dyDescent="0.3">
      <c r="A17" s="55" t="s">
        <v>33</v>
      </c>
      <c r="B17" s="55"/>
      <c r="C17" s="10" t="s">
        <v>11</v>
      </c>
    </row>
    <row r="18" spans="1:5" ht="16.5" customHeight="1" x14ac:dyDescent="0.3">
      <c r="A18" s="55" t="s">
        <v>34</v>
      </c>
      <c r="B18" s="55"/>
      <c r="C18" s="47" t="s">
        <v>12</v>
      </c>
    </row>
    <row r="19" spans="1:5" ht="16.5" customHeight="1" x14ac:dyDescent="0.3">
      <c r="A19" s="55" t="s">
        <v>35</v>
      </c>
      <c r="B19" s="55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0" t="s">
        <v>1</v>
      </c>
      <c r="B21" s="50"/>
      <c r="C21" s="9" t="s">
        <v>36</v>
      </c>
      <c r="D21" s="16"/>
    </row>
    <row r="22" spans="1:5" ht="15.75" customHeight="1" x14ac:dyDescent="0.3">
      <c r="A22" s="54"/>
      <c r="B22" s="54"/>
      <c r="C22" s="7"/>
      <c r="D22" s="54"/>
      <c r="E22" s="54"/>
    </row>
    <row r="23" spans="1:5" ht="33.75" customHeight="1" x14ac:dyDescent="0.3">
      <c r="C23" s="36" t="s">
        <v>37</v>
      </c>
      <c r="D23" s="35" t="s">
        <v>38</v>
      </c>
      <c r="E23" s="2"/>
    </row>
    <row r="24" spans="1:5" ht="15.75" customHeight="1" x14ac:dyDescent="0.3">
      <c r="C24" s="45">
        <v>1050.9100000000001</v>
      </c>
      <c r="D24" s="37">
        <f t="shared" ref="D24:D43" si="0">(C24-$C$46)/$C$46</f>
        <v>8.396023643202799E-3</v>
      </c>
      <c r="E24" s="3"/>
    </row>
    <row r="25" spans="1:5" ht="15.75" customHeight="1" x14ac:dyDescent="0.3">
      <c r="C25" s="45">
        <v>1047.71</v>
      </c>
      <c r="D25" s="38">
        <f t="shared" si="0"/>
        <v>5.3254778536886687E-3</v>
      </c>
      <c r="E25" s="3"/>
    </row>
    <row r="26" spans="1:5" ht="15.75" customHeight="1" x14ac:dyDescent="0.3">
      <c r="C26" s="45">
        <v>1045.46</v>
      </c>
      <c r="D26" s="38">
        <f t="shared" si="0"/>
        <v>3.1665003454365761E-3</v>
      </c>
      <c r="E26" s="3"/>
    </row>
    <row r="27" spans="1:5" ht="15.75" customHeight="1" x14ac:dyDescent="0.3">
      <c r="C27" s="45">
        <v>1042.1600000000001</v>
      </c>
      <c r="D27" s="38">
        <f t="shared" si="0"/>
        <v>2.1817540055579959E-16</v>
      </c>
      <c r="E27" s="3"/>
    </row>
    <row r="28" spans="1:5" ht="15.75" customHeight="1" x14ac:dyDescent="0.3">
      <c r="C28" s="45">
        <v>1045.01</v>
      </c>
      <c r="D28" s="38">
        <f t="shared" si="0"/>
        <v>2.7347048437861145E-3</v>
      </c>
      <c r="E28" s="3"/>
    </row>
    <row r="29" spans="1:5" ht="15.75" customHeight="1" x14ac:dyDescent="0.3">
      <c r="C29" s="45">
        <v>1044.6199999999999</v>
      </c>
      <c r="D29" s="38">
        <f t="shared" si="0"/>
        <v>2.360482075688989E-3</v>
      </c>
      <c r="E29" s="3"/>
    </row>
    <row r="30" spans="1:5" ht="15.75" customHeight="1" x14ac:dyDescent="0.3">
      <c r="C30" s="45">
        <v>1051.3</v>
      </c>
      <c r="D30" s="38">
        <f t="shared" si="0"/>
        <v>8.770246411299705E-3</v>
      </c>
      <c r="E30" s="3"/>
    </row>
    <row r="31" spans="1:5" ht="15.75" customHeight="1" x14ac:dyDescent="0.3">
      <c r="C31" s="45">
        <v>1048.04</v>
      </c>
      <c r="D31" s="38">
        <f t="shared" si="0"/>
        <v>5.6421278882322389E-3</v>
      </c>
      <c r="E31" s="3"/>
    </row>
    <row r="32" spans="1:5" ht="15.75" customHeight="1" x14ac:dyDescent="0.3">
      <c r="C32" s="45">
        <v>1046.74</v>
      </c>
      <c r="D32" s="38">
        <f t="shared" si="0"/>
        <v>4.3947186612421849E-3</v>
      </c>
      <c r="E32" s="3"/>
    </row>
    <row r="33" spans="1:7" ht="15.75" customHeight="1" x14ac:dyDescent="0.3">
      <c r="C33" s="45">
        <v>1045.56</v>
      </c>
      <c r="D33" s="38">
        <f t="shared" si="0"/>
        <v>3.2624549013588041E-3</v>
      </c>
      <c r="E33" s="3"/>
    </row>
    <row r="34" spans="1:7" ht="15.75" customHeight="1" x14ac:dyDescent="0.3">
      <c r="C34" s="45">
        <v>1031.74</v>
      </c>
      <c r="D34" s="38">
        <f t="shared" si="0"/>
        <v>-9.9984647271050952E-3</v>
      </c>
      <c r="E34" s="3"/>
    </row>
    <row r="35" spans="1:7" ht="15.75" customHeight="1" x14ac:dyDescent="0.3">
      <c r="C35" s="45">
        <v>1048.43</v>
      </c>
      <c r="D35" s="38">
        <f t="shared" si="0"/>
        <v>6.0163506563293643E-3</v>
      </c>
      <c r="E35" s="3"/>
    </row>
    <row r="36" spans="1:7" ht="15.75" customHeight="1" x14ac:dyDescent="0.3">
      <c r="C36" s="45">
        <v>1046.95</v>
      </c>
      <c r="D36" s="38">
        <f t="shared" si="0"/>
        <v>4.5962232286790817E-3</v>
      </c>
      <c r="E36" s="3"/>
    </row>
    <row r="37" spans="1:7" ht="15.75" customHeight="1" x14ac:dyDescent="0.3">
      <c r="C37" s="45">
        <v>1022.73</v>
      </c>
      <c r="D37" s="38">
        <f t="shared" si="0"/>
        <v>-1.8643970215705689E-2</v>
      </c>
      <c r="E37" s="3"/>
    </row>
    <row r="38" spans="1:7" ht="15.75" customHeight="1" x14ac:dyDescent="0.3">
      <c r="C38" s="45">
        <v>1033.1600000000001</v>
      </c>
      <c r="D38" s="38">
        <f t="shared" si="0"/>
        <v>-8.6359100330081501E-3</v>
      </c>
      <c r="E38" s="3"/>
    </row>
    <row r="39" spans="1:7" ht="15.75" customHeight="1" x14ac:dyDescent="0.3">
      <c r="C39" s="45">
        <v>1042.02</v>
      </c>
      <c r="D39" s="38">
        <f t="shared" si="0"/>
        <v>-1.3433637829111912E-4</v>
      </c>
      <c r="E39" s="3"/>
    </row>
    <row r="40" spans="1:7" ht="15.75" customHeight="1" x14ac:dyDescent="0.3">
      <c r="C40" s="45">
        <v>1046.82</v>
      </c>
      <c r="D40" s="38">
        <f t="shared" si="0"/>
        <v>4.4714823059799668E-3</v>
      </c>
      <c r="E40" s="3"/>
    </row>
    <row r="41" spans="1:7" ht="15.75" customHeight="1" x14ac:dyDescent="0.3">
      <c r="C41" s="45">
        <v>1043.5999999999999</v>
      </c>
      <c r="D41" s="38">
        <f t="shared" si="0"/>
        <v>1.3817456052813914E-3</v>
      </c>
      <c r="E41" s="3"/>
    </row>
    <row r="42" spans="1:7" ht="15.75" customHeight="1" x14ac:dyDescent="0.3">
      <c r="C42" s="45">
        <v>1033.43</v>
      </c>
      <c r="D42" s="38">
        <f t="shared" si="0"/>
        <v>-8.3768327320179175E-3</v>
      </c>
      <c r="E42" s="3"/>
    </row>
    <row r="43" spans="1:7" ht="16.5" customHeight="1" x14ac:dyDescent="0.3">
      <c r="C43" s="46">
        <v>1026.81</v>
      </c>
      <c r="D43" s="39">
        <f t="shared" si="0"/>
        <v>-1.4729024334075297E-2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39</v>
      </c>
      <c r="C45" s="33">
        <f>SUM(C24:C44)</f>
        <v>20843.199999999997</v>
      </c>
      <c r="D45" s="28"/>
      <c r="E45" s="4"/>
    </row>
    <row r="46" spans="1:7" ht="17.25" customHeight="1" x14ac:dyDescent="0.3">
      <c r="B46" s="32" t="s">
        <v>40</v>
      </c>
      <c r="C46" s="34">
        <f>AVERAGE(C24:C44)</f>
        <v>1042.1599999999999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40</v>
      </c>
      <c r="C48" s="35" t="s">
        <v>41</v>
      </c>
      <c r="D48" s="30"/>
      <c r="G48" s="8"/>
    </row>
    <row r="49" spans="1:6" ht="17.25" customHeight="1" x14ac:dyDescent="0.3">
      <c r="B49" s="48">
        <f>C46</f>
        <v>1042.1599999999999</v>
      </c>
      <c r="C49" s="43">
        <f>-IF(C46&lt;=80,10%,IF(C46&lt;250,7.5%,5%))</f>
        <v>-0.05</v>
      </c>
      <c r="D49" s="31">
        <f>IF(C46&lt;=80,C46*0.9,IF(C46&lt;250,C46*0.925,C46*0.95))</f>
        <v>990.05199999999979</v>
      </c>
    </row>
    <row r="50" spans="1:6" ht="17.25" customHeight="1" x14ac:dyDescent="0.3">
      <c r="B50" s="49"/>
      <c r="C50" s="44">
        <f>IF(C46&lt;=80, 10%, IF(C46&lt;250, 7.5%, 5%))</f>
        <v>0.05</v>
      </c>
      <c r="D50" s="31">
        <f>IF(C46&lt;=80, C46*1.1, IF(C46&lt;250, C46*1.075, C46*1.05))</f>
        <v>1094.2679999999998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23</v>
      </c>
      <c r="C52" s="17"/>
      <c r="D52" s="18" t="s">
        <v>24</v>
      </c>
      <c r="E52" s="19"/>
      <c r="F52" s="18" t="s">
        <v>25</v>
      </c>
    </row>
    <row r="53" spans="1:6" ht="34.5" customHeight="1" x14ac:dyDescent="0.3">
      <c r="A53" s="20" t="s">
        <v>26</v>
      </c>
      <c r="B53" s="21"/>
      <c r="C53" s="22"/>
      <c r="D53" s="21"/>
      <c r="E53" s="11"/>
      <c r="F53" s="23"/>
    </row>
    <row r="54" spans="1:6" ht="34.5" customHeight="1" x14ac:dyDescent="0.3">
      <c r="A54" s="20" t="s">
        <v>27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 TRIM SST</vt:lpstr>
      <vt:lpstr>SULFS SST</vt:lpstr>
      <vt:lpstr>Sulfamethoxazole</vt:lpstr>
      <vt:lpstr>Trimethoprim</vt:lpstr>
      <vt:lpstr>Uniformity</vt:lpstr>
      <vt:lpstr>' TRIM SST'!Print_Area</vt:lpstr>
      <vt:lpstr>'SULFS SST'!Print_Area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2018-06-11T11:46:50Z</cp:lastPrinted>
  <dcterms:created xsi:type="dcterms:W3CDTF">2005-07-05T10:19:27Z</dcterms:created>
  <dcterms:modified xsi:type="dcterms:W3CDTF">2018-06-11T11:59:11Z</dcterms:modified>
</cp:coreProperties>
</file>