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4055" windowHeight="8640" activeTab="3"/>
  </bookViews>
  <sheets>
    <sheet name=" TRIM SST" sheetId="6" r:id="rId1"/>
    <sheet name="SULFS SST" sheetId="7" r:id="rId2"/>
    <sheet name="Sulfamethoxazole" sheetId="8" r:id="rId3"/>
    <sheet name="Trimethoprim" sheetId="9" r:id="rId4"/>
    <sheet name="Uniformity" sheetId="2" r:id="rId5"/>
  </sheets>
  <externalReferences>
    <externalReference r:id="rId6"/>
  </externalReferences>
  <definedNames>
    <definedName name="_xlnm.Print_Area" localSheetId="0">' TRIM SST'!$A$15:$G$62</definedName>
    <definedName name="_xlnm.Print_Area" localSheetId="1">'SULFS SST'!$A$15:$G$64</definedName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C124" i="9" l="1"/>
  <c r="B116" i="9"/>
  <c r="D101" i="9"/>
  <c r="D100" i="9"/>
  <c r="B98" i="9"/>
  <c r="F95" i="9"/>
  <c r="D95" i="9"/>
  <c r="I92" i="9" s="1"/>
  <c r="G94" i="9"/>
  <c r="E94" i="9"/>
  <c r="B87" i="9"/>
  <c r="F97" i="9" s="1"/>
  <c r="B81" i="9"/>
  <c r="B83" i="9" s="1"/>
  <c r="B80" i="9"/>
  <c r="B79" i="9"/>
  <c r="C76" i="9"/>
  <c r="H71" i="9"/>
  <c r="G71" i="9"/>
  <c r="D68" i="9"/>
  <c r="B68" i="9"/>
  <c r="H67" i="9"/>
  <c r="G67" i="9"/>
  <c r="D64" i="9"/>
  <c r="H63" i="9"/>
  <c r="G63" i="9"/>
  <c r="D60" i="9"/>
  <c r="B57" i="9"/>
  <c r="C56" i="9"/>
  <c r="B55" i="9"/>
  <c r="B45" i="9"/>
  <c r="D48" i="9" s="1"/>
  <c r="F42" i="9"/>
  <c r="D42" i="9"/>
  <c r="I39" i="9" s="1"/>
  <c r="G41" i="9"/>
  <c r="E41" i="9"/>
  <c r="B34" i="9"/>
  <c r="F44" i="9" s="1"/>
  <c r="F45" i="9" s="1"/>
  <c r="F46" i="9" s="1"/>
  <c r="B30" i="9"/>
  <c r="C124" i="8"/>
  <c r="B116" i="8"/>
  <c r="D100" i="8"/>
  <c r="D101" i="8" s="1"/>
  <c r="B98" i="8"/>
  <c r="F95" i="8"/>
  <c r="D95" i="8"/>
  <c r="G94" i="8"/>
  <c r="E94" i="8"/>
  <c r="I92" i="8"/>
  <c r="B87" i="8"/>
  <c r="D97" i="8" s="1"/>
  <c r="D98" i="8" s="1"/>
  <c r="D99" i="8" s="1"/>
  <c r="B83" i="8"/>
  <c r="B81" i="8"/>
  <c r="B80" i="8"/>
  <c r="B79" i="8"/>
  <c r="C76" i="8"/>
  <c r="H71" i="8"/>
  <c r="G71" i="8"/>
  <c r="B68" i="8"/>
  <c r="H67" i="8"/>
  <c r="G67" i="8"/>
  <c r="H63" i="8"/>
  <c r="G63" i="8"/>
  <c r="B57" i="8"/>
  <c r="B69" i="8" s="1"/>
  <c r="C56" i="8"/>
  <c r="B55" i="8"/>
  <c r="B45" i="8"/>
  <c r="D48" i="8" s="1"/>
  <c r="F42" i="8"/>
  <c r="D42" i="8"/>
  <c r="I39" i="8" s="1"/>
  <c r="G41" i="8"/>
  <c r="E41" i="8"/>
  <c r="B34" i="8"/>
  <c r="F44" i="8" s="1"/>
  <c r="F45" i="8" s="1"/>
  <c r="F46" i="8" s="1"/>
  <c r="B30" i="8"/>
  <c r="B32" i="7"/>
  <c r="G30" i="7"/>
  <c r="F30" i="7"/>
  <c r="E30" i="7"/>
  <c r="D30" i="7"/>
  <c r="C30" i="7"/>
  <c r="B30" i="7"/>
  <c r="B31" i="7" s="1"/>
  <c r="B21" i="7"/>
  <c r="B32" i="6"/>
  <c r="F30" i="6"/>
  <c r="E30" i="6"/>
  <c r="D30" i="6"/>
  <c r="C30" i="6"/>
  <c r="B30" i="6"/>
  <c r="B31" i="6" s="1"/>
  <c r="B21" i="6"/>
  <c r="B69" i="9" l="1"/>
  <c r="F98" i="9"/>
  <c r="E93" i="8"/>
  <c r="E91" i="8"/>
  <c r="G92" i="8"/>
  <c r="D102" i="8"/>
  <c r="E92" i="8"/>
  <c r="E38" i="8"/>
  <c r="G39" i="8"/>
  <c r="G40" i="8"/>
  <c r="E39" i="8"/>
  <c r="D49" i="8"/>
  <c r="E40" i="8"/>
  <c r="G38" i="8"/>
  <c r="G40" i="9"/>
  <c r="E39" i="9"/>
  <c r="D49" i="9"/>
  <c r="G38" i="9"/>
  <c r="E38" i="9"/>
  <c r="G39" i="9"/>
  <c r="D44" i="8"/>
  <c r="D45" i="8" s="1"/>
  <c r="D46" i="8" s="1"/>
  <c r="F97" i="8"/>
  <c r="F98" i="8" s="1"/>
  <c r="F99" i="8" s="1"/>
  <c r="D97" i="9"/>
  <c r="D98" i="9" s="1"/>
  <c r="G93" i="9"/>
  <c r="D102" i="9"/>
  <c r="D44" i="9"/>
  <c r="D45" i="9" s="1"/>
  <c r="D46" i="9" s="1"/>
  <c r="D99" i="9" l="1"/>
  <c r="E92" i="9"/>
  <c r="E93" i="9"/>
  <c r="D52" i="8"/>
  <c r="D50" i="8"/>
  <c r="E42" i="8"/>
  <c r="F99" i="9"/>
  <c r="G92" i="9"/>
  <c r="G91" i="9"/>
  <c r="G42" i="9"/>
  <c r="D105" i="8"/>
  <c r="D103" i="8"/>
  <c r="E95" i="8"/>
  <c r="E91" i="9"/>
  <c r="E40" i="9"/>
  <c r="D50" i="9" s="1"/>
  <c r="G42" i="8"/>
  <c r="G93" i="8"/>
  <c r="G91" i="8"/>
  <c r="G95" i="8" s="1"/>
  <c r="C46" i="2"/>
  <c r="C45" i="2"/>
  <c r="D41" i="2"/>
  <c r="D33" i="2"/>
  <c r="D29" i="2"/>
  <c r="D25" i="2"/>
  <c r="C19" i="2"/>
  <c r="G66" i="9" l="1"/>
  <c r="H66" i="9" s="1"/>
  <c r="G64" i="9"/>
  <c r="H64" i="9" s="1"/>
  <c r="G70" i="9"/>
  <c r="H70" i="9" s="1"/>
  <c r="G62" i="9"/>
  <c r="H62" i="9" s="1"/>
  <c r="G60" i="9"/>
  <c r="G68" i="9"/>
  <c r="H68" i="9" s="1"/>
  <c r="G65" i="9"/>
  <c r="H65" i="9" s="1"/>
  <c r="G69" i="9"/>
  <c r="H69" i="9" s="1"/>
  <c r="G61" i="9"/>
  <c r="H61" i="9" s="1"/>
  <c r="D51" i="9"/>
  <c r="E113" i="8"/>
  <c r="F113" i="8" s="1"/>
  <c r="E111" i="8"/>
  <c r="F111" i="8" s="1"/>
  <c r="E109" i="8"/>
  <c r="F109" i="8" s="1"/>
  <c r="D104" i="8"/>
  <c r="E112" i="8"/>
  <c r="F112" i="8" s="1"/>
  <c r="E110" i="8"/>
  <c r="F110" i="8" s="1"/>
  <c r="E108" i="8"/>
  <c r="D52" i="9"/>
  <c r="D103" i="9"/>
  <c r="E95" i="9"/>
  <c r="D105" i="9"/>
  <c r="E42" i="9"/>
  <c r="G95" i="9"/>
  <c r="G69" i="8"/>
  <c r="H69" i="8" s="1"/>
  <c r="G66" i="8"/>
  <c r="H66" i="8" s="1"/>
  <c r="G64" i="8"/>
  <c r="H64" i="8" s="1"/>
  <c r="G62" i="8"/>
  <c r="H62" i="8" s="1"/>
  <c r="G60" i="8"/>
  <c r="D51" i="8"/>
  <c r="G70" i="8"/>
  <c r="H70" i="8" s="1"/>
  <c r="G65" i="8"/>
  <c r="H65" i="8" s="1"/>
  <c r="G61" i="8"/>
  <c r="H61" i="8" s="1"/>
  <c r="G68" i="8"/>
  <c r="H68" i="8" s="1"/>
  <c r="D49" i="2"/>
  <c r="D40" i="2"/>
  <c r="D36" i="2"/>
  <c r="D32" i="2"/>
  <c r="D28" i="2"/>
  <c r="D24" i="2"/>
  <c r="C49" i="2"/>
  <c r="D43" i="2"/>
  <c r="D39" i="2"/>
  <c r="D35" i="2"/>
  <c r="D31" i="2"/>
  <c r="D27" i="2"/>
  <c r="D50" i="2"/>
  <c r="B49" i="2"/>
  <c r="D42" i="2"/>
  <c r="D38" i="2"/>
  <c r="D34" i="2"/>
  <c r="D30" i="2"/>
  <c r="D26" i="2"/>
  <c r="D37" i="2"/>
  <c r="C50" i="2"/>
  <c r="E113" i="9" l="1"/>
  <c r="F113" i="9" s="1"/>
  <c r="E111" i="9"/>
  <c r="F111" i="9" s="1"/>
  <c r="E109" i="9"/>
  <c r="F109" i="9" s="1"/>
  <c r="D104" i="9"/>
  <c r="E112" i="9"/>
  <c r="F112" i="9" s="1"/>
  <c r="E110" i="9"/>
  <c r="F110" i="9" s="1"/>
  <c r="E108" i="9"/>
  <c r="E119" i="8"/>
  <c r="E120" i="8"/>
  <c r="E117" i="8"/>
  <c r="F108" i="8"/>
  <c r="E115" i="8"/>
  <c r="E116" i="8" s="1"/>
  <c r="H60" i="9"/>
  <c r="G74" i="9"/>
  <c r="G72" i="9"/>
  <c r="G73" i="9" s="1"/>
  <c r="G74" i="8"/>
  <c r="G72" i="8"/>
  <c r="G73" i="8" s="1"/>
  <c r="H60" i="8"/>
  <c r="H74" i="8" l="1"/>
  <c r="H72" i="8"/>
  <c r="H74" i="9"/>
  <c r="H72" i="9"/>
  <c r="F125" i="8"/>
  <c r="F120" i="8"/>
  <c r="F117" i="8"/>
  <c r="D125" i="8"/>
  <c r="F115" i="8"/>
  <c r="F119" i="8"/>
  <c r="E120" i="9"/>
  <c r="E117" i="9"/>
  <c r="F108" i="9"/>
  <c r="E115" i="9"/>
  <c r="E116" i="9" s="1"/>
  <c r="E119" i="9"/>
  <c r="G76" i="8" l="1"/>
  <c r="H73" i="8"/>
  <c r="F125" i="9"/>
  <c r="F120" i="9"/>
  <c r="F117" i="9"/>
  <c r="D125" i="9"/>
  <c r="F115" i="9"/>
  <c r="F119" i="9"/>
  <c r="G124" i="8"/>
  <c r="F116" i="8"/>
  <c r="G76" i="9"/>
  <c r="H73" i="9"/>
  <c r="G124" i="9" l="1"/>
  <c r="F116" i="9"/>
</calcChain>
</file>

<file path=xl/sharedStrings.xml><?xml version="1.0" encoding="utf-8"?>
<sst xmlns="http://schemas.openxmlformats.org/spreadsheetml/2006/main" count="465" uniqueCount="149">
  <si>
    <t>HPLC System Suitability Report</t>
  </si>
  <si>
    <t>Analysis Data</t>
  </si>
  <si>
    <t>Assay</t>
  </si>
  <si>
    <t>Sample(s)</t>
  </si>
  <si>
    <t>Reference Substance:</t>
  </si>
  <si>
    <t>COSATRIM DS TABLETS</t>
  </si>
  <si>
    <t>% age Purity:</t>
  </si>
  <si>
    <t>NDQB201805440</t>
  </si>
  <si>
    <t>Weight (mg):</t>
  </si>
  <si>
    <t>Sulphamethoxazole 800 mg, Trimethoprim 160 mg</t>
  </si>
  <si>
    <t>Standard Conc (mg/mL):</t>
  </si>
  <si>
    <t>Each tablet contains: Sulfamethoxazole BP 800 mg and Trimethoprim BP 160 mg.</t>
  </si>
  <si>
    <t>2018-06-04 12:07:19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</si>
  <si>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</si>
  <si>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</si>
  <si>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</si>
  <si>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</si>
  <si>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</si>
  <si>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</si>
  <si>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</si>
  <si>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</si>
  <si>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</si>
  <si>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</si>
  <si>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</si>
  <si>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</si>
  <si>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</si>
  <si>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</si>
  <si>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</si>
  <si>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</si>
  <si>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</si>
  <si>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</si>
  <si>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</si>
  <si>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</si>
  <si>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</si>
  <si>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</si>
  <si>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</si>
  <si>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</si>
  <si>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</si>
  <si>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</si>
  <si>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</si>
  <si>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</si>
  <si>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</si>
  <si>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</si>
  <si>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</si>
  <si>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</si>
  <si>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</si>
  <si>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</si>
  <si>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</si>
  <si>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</si>
  <si>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</si>
  <si>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</si>
  <si>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</si>
  <si>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</si>
  <si>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</si>
  <si>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</si>
  <si>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</si>
  <si>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</si>
  <si>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</si>
  <si>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</si>
  <si>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</si>
  <si>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</si>
  <si>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</si>
  <si>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</si>
  <si>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</si>
  <si>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</si>
  <si>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</si>
  <si>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</si>
  <si>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</si>
  <si>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</si>
  <si>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</si>
  <si>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</si>
  <si>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</si>
  <si>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</si>
  <si>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</si>
  <si>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</si>
  <si>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</si>
  <si>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</si>
  <si>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</si>
  <si>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</si>
  <si>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</si>
  <si>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</si>
  <si>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</si>
  <si>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</si>
  <si>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</si>
  <si>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</si>
  <si>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</si>
  <si>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</si>
  <si>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</si>
  <si>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</si>
  <si>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</si>
  <si>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</si>
  <si>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</si>
  <si>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</si>
  <si>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</si>
  <si>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</si>
  <si>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</si>
  <si>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</si>
  <si>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</si>
  <si>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</si>
  <si>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</si>
  <si>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</si>
  <si>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</si>
  <si>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</si>
  <si>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</si>
  <si>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</si>
  <si>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</si>
  <si>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</si>
  <si>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</si>
  <si>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</si>
  <si>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</si>
  <si>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</si>
  <si>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</si>
  <si>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</si>
  <si>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</si>
  <si>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</si>
  <si>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</si>
  <si>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</si>
  <si>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</si>
  <si>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</si>
  <si>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</si>
  <si>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</si>
  <si>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</si>
  <si>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</si>
  <si>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</si>
  <si>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</si>
  <si>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</si>
  <si>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</si>
  <si>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</si>
  <si>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CO-TRIMOXAZOLE TABLETS BP 960 MG</t>
  </si>
  <si>
    <t>Trimethoprim</t>
  </si>
  <si>
    <t>2018-03-13 14:03:39</t>
  </si>
  <si>
    <t>Relative Retention time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</si>
  <si>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</si>
  <si>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</si>
  <si>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</si>
  <si>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 xml:space="preserve">The RRT for Trimethoprim and Sulfamethoxazole are 1.0 </t>
  </si>
  <si>
    <t>SARAH KARIUKI</t>
  </si>
  <si>
    <t>Sulfamethoxazole</t>
  </si>
  <si>
    <t>2018-03-13 14:00:19</t>
  </si>
  <si>
    <t>Relation Retention  Times (min)</t>
  </si>
  <si>
    <t>RESOLUTION</t>
  </si>
  <si>
    <t>The RRT for Sulfamethoxazole are 1.8</t>
  </si>
  <si>
    <t>The Resolution NLT 5.0 Between Sulfamethoxazole and Trimethoprim</t>
  </si>
  <si>
    <t>SULFRAN DS TABLETS</t>
  </si>
  <si>
    <t>each tablets contains sulphamethoxazole 800mg Trimethoprim 160mg.</t>
  </si>
  <si>
    <t>Each tablet contains: Sulphamethoxazole BP 800 mg and Trimethoprim BP 160 mg.</t>
  </si>
  <si>
    <t>2018-06-04 11:55:20</t>
  </si>
  <si>
    <t>s12-6</t>
  </si>
  <si>
    <t>T7-5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</si>
</sst>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5" fillId="2" borderId="0"/>
    <xf numFmtId="0" fontId="24" fillId="2" borderId="0"/>
    <xf numFmtId="0" fontId="24" fillId="2" borderId="0"/>
    <xf numFmtId="0" fontId="25" fillId="2" borderId="0"/>
    <xf numFmtId="0" fontId="25" fillId="2" borderId="0"/>
    <xf numFmtId="0" fontId="25" fillId="2" borderId="0"/>
    <xf numFmtId="0" fontId="25" fillId="2" borderId="0"/>
  </cellStyleXfs>
  <cellXfs count="54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6" fillId="2" borderId="0" xfId="1" applyFont="1" applyFill="1"/>
    <xf numFmtId="0" fontId="27" fillId="2" borderId="0" xfId="1" applyFont="1" applyFill="1"/>
    <xf numFmtId="0" fontId="27" fillId="2" borderId="0" xfId="1" applyFont="1" applyFill="1" applyAlignment="1">
      <alignment horizontal="right"/>
    </xf>
    <xf numFmtId="0" fontId="28" fillId="2" borderId="0" xfId="1" applyFont="1" applyFill="1" applyAlignment="1">
      <alignment horizontal="center"/>
    </xf>
    <xf numFmtId="0" fontId="29" fillId="2" borderId="0" xfId="1" applyFont="1" applyFill="1"/>
    <xf numFmtId="0" fontId="29" fillId="2" borderId="0" xfId="1" applyFont="1" applyFill="1" applyAlignment="1">
      <alignment horizontal="left"/>
    </xf>
    <xf numFmtId="0" fontId="30" fillId="2" borderId="0" xfId="1" applyFont="1" applyFill="1" applyAlignment="1">
      <alignment horizontal="left"/>
    </xf>
    <xf numFmtId="0" fontId="31" fillId="2" borderId="0" xfId="1" applyFont="1" applyFill="1"/>
    <xf numFmtId="0" fontId="30" fillId="2" borderId="0" xfId="1" applyFont="1" applyFill="1" applyAlignment="1">
      <alignment horizontal="center"/>
    </xf>
    <xf numFmtId="0" fontId="30" fillId="2" borderId="0" xfId="1" applyFont="1" applyFill="1"/>
    <xf numFmtId="2" fontId="30" fillId="2" borderId="0" xfId="1" applyNumberFormat="1" applyFont="1" applyFill="1" applyAlignment="1">
      <alignment horizontal="center"/>
    </xf>
    <xf numFmtId="164" fontId="30" fillId="2" borderId="0" xfId="1" applyNumberFormat="1" applyFont="1" applyFill="1" applyAlignment="1">
      <alignment horizontal="center"/>
    </xf>
    <xf numFmtId="0" fontId="30" fillId="2" borderId="1" xfId="1" applyFont="1" applyFill="1" applyBorder="1" applyAlignment="1">
      <alignment horizontal="center"/>
    </xf>
    <xf numFmtId="0" fontId="30" fillId="2" borderId="2" xfId="1" applyFont="1" applyFill="1" applyBorder="1" applyAlignment="1">
      <alignment horizontal="center"/>
    </xf>
    <xf numFmtId="0" fontId="30" fillId="2" borderId="0" xfId="1" applyFont="1" applyFill="1" applyBorder="1" applyAlignment="1">
      <alignment horizontal="center"/>
    </xf>
    <xf numFmtId="0" fontId="31" fillId="2" borderId="3" xfId="1" applyFont="1" applyFill="1" applyBorder="1" applyAlignment="1">
      <alignment horizontal="center"/>
    </xf>
    <xf numFmtId="0" fontId="32" fillId="3" borderId="3" xfId="1" applyFont="1" applyFill="1" applyBorder="1" applyAlignment="1" applyProtection="1">
      <alignment horizontal="center"/>
      <protection locked="0"/>
    </xf>
    <xf numFmtId="2" fontId="32" fillId="3" borderId="3" xfId="1" applyNumberFormat="1" applyFont="1" applyFill="1" applyBorder="1" applyAlignment="1" applyProtection="1">
      <alignment horizontal="center"/>
      <protection locked="0"/>
    </xf>
    <xf numFmtId="2" fontId="32" fillId="3" borderId="4" xfId="1" applyNumberFormat="1" applyFont="1" applyFill="1" applyBorder="1" applyAlignment="1" applyProtection="1">
      <alignment horizontal="center"/>
      <protection locked="0"/>
    </xf>
    <xf numFmtId="2" fontId="32" fillId="3" borderId="0" xfId="1" applyNumberFormat="1" applyFont="1" applyFill="1" applyBorder="1" applyAlignment="1" applyProtection="1">
      <alignment horizontal="center"/>
      <protection locked="0"/>
    </xf>
    <xf numFmtId="0" fontId="32" fillId="3" borderId="5" xfId="1" applyFont="1" applyFill="1" applyBorder="1" applyAlignment="1" applyProtection="1">
      <alignment horizontal="center"/>
      <protection locked="0"/>
    </xf>
    <xf numFmtId="2" fontId="32" fillId="3" borderId="5" xfId="1" applyNumberFormat="1" applyFont="1" applyFill="1" applyBorder="1" applyAlignment="1" applyProtection="1">
      <alignment horizontal="center"/>
      <protection locked="0"/>
    </xf>
    <xf numFmtId="0" fontId="31" fillId="2" borderId="4" xfId="1" applyFont="1" applyFill="1" applyBorder="1"/>
    <xf numFmtId="1" fontId="30" fillId="4" borderId="2" xfId="1" applyNumberFormat="1" applyFont="1" applyFill="1" applyBorder="1" applyAlignment="1">
      <alignment horizontal="center"/>
    </xf>
    <xf numFmtId="1" fontId="30" fillId="4" borderId="1" xfId="1" applyNumberFormat="1" applyFont="1" applyFill="1" applyBorder="1" applyAlignment="1">
      <alignment horizontal="center"/>
    </xf>
    <xf numFmtId="2" fontId="30" fillId="4" borderId="2" xfId="1" applyNumberFormat="1" applyFont="1" applyFill="1" applyBorder="1" applyAlignment="1">
      <alignment horizontal="center"/>
    </xf>
    <xf numFmtId="2" fontId="30" fillId="8" borderId="57" xfId="1" applyNumberFormat="1" applyFont="1" applyFill="1" applyBorder="1" applyAlignment="1">
      <alignment horizontal="center"/>
    </xf>
    <xf numFmtId="2" fontId="27" fillId="9" borderId="58" xfId="1" applyNumberFormat="1" applyFont="1" applyFill="1" applyBorder="1" applyAlignment="1">
      <alignment horizontal="center"/>
    </xf>
    <xf numFmtId="0" fontId="31" fillId="2" borderId="3" xfId="1" applyFont="1" applyFill="1" applyBorder="1"/>
    <xf numFmtId="10" fontId="30" fillId="5" borderId="1" xfId="1" applyNumberFormat="1" applyFont="1" applyFill="1" applyBorder="1" applyAlignment="1">
      <alignment horizontal="center"/>
    </xf>
    <xf numFmtId="165" fontId="30" fillId="2" borderId="0" xfId="1" applyNumberFormat="1" applyFont="1" applyFill="1" applyAlignment="1">
      <alignment horizontal="center"/>
    </xf>
    <xf numFmtId="0" fontId="31" fillId="2" borderId="6" xfId="1" applyFont="1" applyFill="1" applyBorder="1"/>
    <xf numFmtId="0" fontId="31" fillId="2" borderId="5" xfId="1" applyFont="1" applyFill="1" applyBorder="1"/>
    <xf numFmtId="0" fontId="30" fillId="4" borderId="1" xfId="1" applyFont="1" applyFill="1" applyBorder="1" applyAlignment="1">
      <alignment horizontal="center"/>
    </xf>
    <xf numFmtId="0" fontId="30" fillId="2" borderId="7" xfId="1" applyFont="1" applyFill="1" applyBorder="1" applyAlignment="1">
      <alignment horizontal="center"/>
    </xf>
    <xf numFmtId="0" fontId="31" fillId="2" borderId="7" xfId="1" applyFont="1" applyFill="1" applyBorder="1"/>
    <xf numFmtId="0" fontId="31" fillId="2" borderId="8" xfId="1" applyFont="1" applyFill="1" applyBorder="1"/>
    <xf numFmtId="0" fontId="31" fillId="2" borderId="0" xfId="1" applyFont="1" applyFill="1" applyAlignment="1" applyProtection="1">
      <alignment horizontal="left"/>
      <protection locked="0"/>
    </xf>
    <xf numFmtId="0" fontId="31" fillId="2" borderId="0" xfId="1" applyFont="1" applyFill="1" applyProtection="1">
      <protection locked="0"/>
    </xf>
    <xf numFmtId="0" fontId="27" fillId="2" borderId="59" xfId="1" applyFont="1" applyFill="1" applyBorder="1"/>
    <xf numFmtId="2" fontId="32" fillId="3" borderId="26" xfId="1" applyNumberFormat="1" applyFont="1" applyFill="1" applyBorder="1" applyAlignment="1" applyProtection="1">
      <alignment horizontal="center"/>
      <protection locked="0"/>
    </xf>
    <xf numFmtId="0" fontId="27" fillId="10" borderId="60" xfId="1" applyFont="1" applyFill="1" applyBorder="1" applyAlignment="1">
      <alignment horizontal="center"/>
    </xf>
    <xf numFmtId="2" fontId="32" fillId="3" borderId="31" xfId="1" applyNumberFormat="1" applyFont="1" applyFill="1" applyBorder="1" applyAlignment="1" applyProtection="1">
      <alignment horizontal="center"/>
      <protection locked="0"/>
    </xf>
    <xf numFmtId="0" fontId="27" fillId="10" borderId="61" xfId="1" applyFont="1" applyFill="1" applyBorder="1" applyAlignment="1">
      <alignment horizontal="center"/>
    </xf>
    <xf numFmtId="2" fontId="32" fillId="3" borderId="35" xfId="1" applyNumberFormat="1" applyFont="1" applyFill="1" applyBorder="1" applyAlignment="1" applyProtection="1">
      <alignment horizontal="center"/>
      <protection locked="0"/>
    </xf>
    <xf numFmtId="0" fontId="27" fillId="10" borderId="62" xfId="1" applyFont="1" applyFill="1" applyBorder="1" applyAlignment="1">
      <alignment horizontal="center"/>
    </xf>
    <xf numFmtId="2" fontId="30" fillId="4" borderId="1" xfId="1" applyNumberFormat="1" applyFont="1" applyFill="1" applyBorder="1" applyAlignment="1">
      <alignment horizontal="center"/>
    </xf>
    <xf numFmtId="0" fontId="27" fillId="9" borderId="0" xfId="1" applyFont="1" applyFill="1"/>
    <xf numFmtId="0" fontId="27" fillId="2" borderId="9" xfId="1" applyFont="1" applyFill="1" applyBorder="1"/>
    <xf numFmtId="0" fontId="27" fillId="2" borderId="0" xfId="1" applyFont="1" applyFill="1" applyAlignment="1">
      <alignment horizontal="center"/>
    </xf>
    <xf numFmtId="10" fontId="27" fillId="2" borderId="9" xfId="1" applyNumberFormat="1" applyFont="1" applyFill="1" applyBorder="1"/>
    <xf numFmtId="0" fontId="25" fillId="2" borderId="0" xfId="1" applyFill="1"/>
    <xf numFmtId="0" fontId="26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/>
    </xf>
    <xf numFmtId="0" fontId="26" fillId="2" borderId="0" xfId="1" applyFont="1" applyFill="1" applyAlignment="1">
      <alignment horizontal="right"/>
    </xf>
    <xf numFmtId="0" fontId="27" fillId="2" borderId="7" xfId="1" applyFont="1" applyFill="1" applyBorder="1"/>
    <xf numFmtId="14" fontId="27" fillId="2" borderId="7" xfId="1" applyNumberFormat="1" applyFont="1" applyFill="1" applyBorder="1"/>
    <xf numFmtId="0" fontId="26" fillId="2" borderId="11" xfId="1" applyFont="1" applyFill="1" applyBorder="1"/>
    <xf numFmtId="0" fontId="27" fillId="2" borderId="11" xfId="1" applyFont="1" applyFill="1" applyBorder="1"/>
    <xf numFmtId="0" fontId="30" fillId="2" borderId="63" xfId="1" applyFont="1" applyFill="1" applyBorder="1" applyAlignment="1">
      <alignment horizontal="center"/>
    </xf>
    <xf numFmtId="0" fontId="30" fillId="2" borderId="64" xfId="1" applyFont="1" applyFill="1" applyBorder="1" applyAlignment="1">
      <alignment horizontal="center"/>
    </xf>
    <xf numFmtId="2" fontId="32" fillId="3" borderId="61" xfId="1" applyNumberFormat="1" applyFont="1" applyFill="1" applyBorder="1" applyAlignment="1" applyProtection="1">
      <alignment horizontal="center"/>
      <protection locked="0"/>
    </xf>
    <xf numFmtId="2" fontId="32" fillId="3" borderId="65" xfId="1" applyNumberFormat="1" applyFont="1" applyFill="1" applyBorder="1" applyAlignment="1" applyProtection="1">
      <alignment horizontal="center"/>
      <protection locked="0"/>
    </xf>
    <xf numFmtId="2" fontId="27" fillId="9" borderId="59" xfId="1" applyNumberFormat="1" applyFont="1" applyFill="1" applyBorder="1" applyAlignment="1">
      <alignment horizontal="center"/>
    </xf>
    <xf numFmtId="0" fontId="31" fillId="2" borderId="0" xfId="1" applyFont="1" applyFill="1" applyBorder="1"/>
    <xf numFmtId="0" fontId="27" fillId="2" borderId="61" xfId="1" applyFont="1" applyFill="1" applyBorder="1"/>
    <xf numFmtId="0" fontId="27" fillId="2" borderId="65" xfId="1" applyFont="1" applyFill="1" applyBorder="1"/>
    <xf numFmtId="0" fontId="27" fillId="2" borderId="62" xfId="1" applyFont="1" applyFill="1" applyBorder="1"/>
    <xf numFmtId="0" fontId="27" fillId="2" borderId="66" xfId="1" applyFont="1" applyFill="1" applyBorder="1"/>
    <xf numFmtId="0" fontId="26" fillId="2" borderId="59" xfId="1" applyFont="1" applyFill="1" applyBorder="1"/>
    <xf numFmtId="0" fontId="26" fillId="10" borderId="61" xfId="1" applyFont="1" applyFill="1" applyBorder="1" applyAlignment="1">
      <alignment horizontal="center"/>
    </xf>
    <xf numFmtId="0" fontId="27" fillId="9" borderId="61" xfId="1" applyFont="1" applyFill="1" applyBorder="1" applyAlignment="1">
      <alignment horizontal="center"/>
    </xf>
    <xf numFmtId="0" fontId="26" fillId="9" borderId="61" xfId="1" applyFont="1" applyFill="1" applyBorder="1" applyAlignment="1">
      <alignment horizontal="center"/>
    </xf>
    <xf numFmtId="0" fontId="26" fillId="2" borderId="61" xfId="1" applyFont="1" applyFill="1" applyBorder="1"/>
    <xf numFmtId="0" fontId="26" fillId="2" borderId="62" xfId="1" applyFont="1" applyFill="1" applyBorder="1"/>
    <xf numFmtId="0" fontId="20" fillId="2" borderId="0" xfId="2" applyFont="1" applyFill="1" applyAlignment="1">
      <alignment horizontal="center" vertical="center"/>
    </xf>
    <xf numFmtId="0" fontId="2" fillId="2" borderId="0" xfId="2" applyFont="1" applyFill="1"/>
    <xf numFmtId="0" fontId="21" fillId="2" borderId="0" xfId="2" applyFont="1" applyFill="1" applyAlignment="1">
      <alignment horizontal="center" vertical="center"/>
    </xf>
    <xf numFmtId="0" fontId="10" fillId="2" borderId="0" xfId="2" applyFont="1" applyFill="1"/>
    <xf numFmtId="0" fontId="18" fillId="2" borderId="18" xfId="2" applyFont="1" applyFill="1" applyBorder="1" applyAlignment="1">
      <alignment horizontal="center"/>
    </xf>
    <xf numFmtId="0" fontId="18" fillId="2" borderId="19" xfId="2" applyFont="1" applyFill="1" applyBorder="1" applyAlignment="1">
      <alignment horizontal="center"/>
    </xf>
    <xf numFmtId="0" fontId="18" fillId="2" borderId="20" xfId="2" applyFont="1" applyFill="1" applyBorder="1" applyAlignment="1">
      <alignment horizontal="center"/>
    </xf>
    <xf numFmtId="0" fontId="22" fillId="2" borderId="10" xfId="2" applyFont="1" applyFill="1" applyBorder="1" applyAlignment="1">
      <alignment horizontal="center" vertical="center"/>
    </xf>
    <xf numFmtId="0" fontId="24" fillId="2" borderId="0" xfId="2" applyFill="1"/>
    <xf numFmtId="0" fontId="11" fillId="2" borderId="0" xfId="2" applyFont="1" applyFill="1"/>
    <xf numFmtId="0" fontId="12" fillId="3" borderId="0" xfId="2" applyFont="1" applyFill="1" applyAlignment="1" applyProtection="1">
      <alignment horizontal="left" wrapText="1"/>
      <protection locked="0"/>
    </xf>
    <xf numFmtId="0" fontId="12" fillId="2" borderId="0" xfId="2" applyFont="1" applyFill="1" applyAlignment="1" applyProtection="1">
      <alignment horizontal="right"/>
      <protection locked="0"/>
    </xf>
    <xf numFmtId="0" fontId="12" fillId="2" borderId="0" xfId="2" applyFont="1" applyFill="1" applyAlignment="1" applyProtection="1">
      <alignment horizontal="left"/>
      <protection locked="0"/>
    </xf>
    <xf numFmtId="0" fontId="13" fillId="2" borderId="0" xfId="2" applyFont="1" applyFill="1"/>
    <xf numFmtId="0" fontId="13" fillId="3" borderId="0" xfId="2" applyFont="1" applyFill="1" applyAlignment="1" applyProtection="1">
      <alignment horizontal="left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0" fillId="3" borderId="0" xfId="2" applyFont="1" applyFill="1" applyProtection="1">
      <protection locked="0"/>
    </xf>
    <xf numFmtId="168" fontId="13" fillId="3" borderId="0" xfId="2" applyNumberFormat="1" applyFont="1" applyFill="1" applyAlignment="1" applyProtection="1">
      <alignment horizontal="center"/>
      <protection locked="0"/>
    </xf>
    <xf numFmtId="169" fontId="10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1" fillId="2" borderId="0" xfId="2" applyFont="1" applyFill="1" applyAlignment="1">
      <alignment horizontal="right"/>
    </xf>
    <xf numFmtId="0" fontId="10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left"/>
      <protection locked="0"/>
    </xf>
    <xf numFmtId="0" fontId="12" fillId="3" borderId="0" xfId="2" applyFont="1" applyFill="1" applyAlignment="1" applyProtection="1">
      <alignment horizontal="center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18" fillId="2" borderId="18" xfId="2" applyFont="1" applyFill="1" applyBorder="1" applyAlignment="1">
      <alignment horizontal="justify" vertical="center" wrapText="1"/>
    </xf>
    <xf numFmtId="0" fontId="18" fillId="2" borderId="19" xfId="2" applyFont="1" applyFill="1" applyBorder="1" applyAlignment="1">
      <alignment horizontal="justify" vertical="center" wrapText="1"/>
    </xf>
    <xf numFmtId="0" fontId="18" fillId="2" borderId="20" xfId="2" applyFont="1" applyFill="1" applyBorder="1" applyAlignment="1">
      <alignment horizontal="justify" vertical="center" wrapText="1"/>
    </xf>
    <xf numFmtId="0" fontId="5" fillId="2" borderId="1" xfId="2" applyFont="1" applyFill="1" applyBorder="1" applyAlignment="1">
      <alignment horizontal="center"/>
    </xf>
    <xf numFmtId="0" fontId="14" fillId="2" borderId="0" xfId="2" applyFont="1" applyFill="1" applyAlignment="1">
      <alignment vertical="center" wrapText="1"/>
    </xf>
    <xf numFmtId="0" fontId="11" fillId="2" borderId="0" xfId="2" applyFont="1" applyFill="1" applyAlignment="1">
      <alignment horizontal="center"/>
    </xf>
    <xf numFmtId="0" fontId="15" fillId="2" borderId="0" xfId="2" applyFont="1" applyFill="1"/>
    <xf numFmtId="0" fontId="16" fillId="2" borderId="0" xfId="2" applyFont="1" applyFill="1"/>
    <xf numFmtId="2" fontId="12" fillId="3" borderId="0" xfId="2" applyNumberFormat="1" applyFont="1" applyFill="1" applyAlignment="1" applyProtection="1">
      <alignment horizontal="center"/>
      <protection locked="0"/>
    </xf>
    <xf numFmtId="0" fontId="18" fillId="2" borderId="18" xfId="2" applyFont="1" applyFill="1" applyBorder="1" applyAlignment="1">
      <alignment horizontal="left" vertical="center" wrapText="1"/>
    </xf>
    <xf numFmtId="0" fontId="18" fillId="2" borderId="19" xfId="2" applyFont="1" applyFill="1" applyBorder="1" applyAlignment="1">
      <alignment horizontal="left" vertical="center" wrapText="1"/>
    </xf>
    <xf numFmtId="0" fontId="18" fillId="2" borderId="20" xfId="2" applyFont="1" applyFill="1" applyBorder="1" applyAlignment="1">
      <alignment horizontal="left" vertical="center" wrapText="1"/>
    </xf>
    <xf numFmtId="0" fontId="11" fillId="2" borderId="0" xfId="2" applyFont="1" applyFill="1" applyAlignment="1">
      <alignment vertical="center" wrapText="1"/>
    </xf>
    <xf numFmtId="0" fontId="17" fillId="2" borderId="0" xfId="2" applyFont="1" applyFill="1"/>
    <xf numFmtId="2" fontId="11" fillId="2" borderId="0" xfId="2" applyNumberFormat="1" applyFont="1" applyFill="1" applyAlignment="1">
      <alignment horizontal="center"/>
    </xf>
    <xf numFmtId="0" fontId="18" fillId="2" borderId="0" xfId="2" applyFont="1" applyFill="1" applyAlignment="1">
      <alignment horizontal="left" vertical="center" wrapText="1"/>
    </xf>
    <xf numFmtId="170" fontId="11" fillId="2" borderId="0" xfId="2" applyNumberFormat="1" applyFont="1" applyFill="1" applyAlignment="1">
      <alignment horizontal="center"/>
    </xf>
    <xf numFmtId="0" fontId="10" fillId="2" borderId="21" xfId="2" applyFont="1" applyFill="1" applyBorder="1" applyAlignment="1">
      <alignment horizontal="right"/>
    </xf>
    <xf numFmtId="0" fontId="12" fillId="3" borderId="22" xfId="2" applyFont="1" applyFill="1" applyBorder="1" applyAlignment="1" applyProtection="1">
      <alignment horizontal="center"/>
      <protection locked="0"/>
    </xf>
    <xf numFmtId="0" fontId="11" fillId="2" borderId="47" xfId="2" applyFont="1" applyFill="1" applyBorder="1" applyAlignment="1">
      <alignment horizontal="center"/>
    </xf>
    <xf numFmtId="0" fontId="11" fillId="2" borderId="40" xfId="2" applyFont="1" applyFill="1" applyBorder="1" applyAlignment="1">
      <alignment horizontal="center"/>
    </xf>
    <xf numFmtId="0" fontId="11" fillId="2" borderId="55" xfId="2" applyFont="1" applyFill="1" applyBorder="1" applyAlignment="1">
      <alignment horizontal="center"/>
    </xf>
    <xf numFmtId="0" fontId="10" fillId="2" borderId="23" xfId="2" applyFont="1" applyFill="1" applyBorder="1" applyAlignment="1">
      <alignment horizontal="right"/>
    </xf>
    <xf numFmtId="0" fontId="12" fillId="3" borderId="24" xfId="2" applyFont="1" applyFill="1" applyBorder="1" applyAlignment="1" applyProtection="1">
      <alignment horizontal="center"/>
      <protection locked="0"/>
    </xf>
    <xf numFmtId="0" fontId="11" fillId="2" borderId="22" xfId="2" applyFont="1" applyFill="1" applyBorder="1" applyAlignment="1">
      <alignment horizontal="center"/>
    </xf>
    <xf numFmtId="0" fontId="11" fillId="2" borderId="25" xfId="2" applyFont="1" applyFill="1" applyBorder="1" applyAlignment="1">
      <alignment horizontal="center"/>
    </xf>
    <xf numFmtId="0" fontId="11" fillId="2" borderId="26" xfId="2" applyFont="1" applyFill="1" applyBorder="1" applyAlignment="1">
      <alignment horizontal="center"/>
    </xf>
    <xf numFmtId="0" fontId="11" fillId="2" borderId="27" xfId="2" applyFont="1" applyFill="1" applyBorder="1" applyAlignment="1">
      <alignment horizontal="center"/>
    </xf>
    <xf numFmtId="0" fontId="11" fillId="2" borderId="12" xfId="2" applyFont="1" applyFill="1" applyBorder="1" applyAlignment="1">
      <alignment horizontal="center"/>
    </xf>
    <xf numFmtId="0" fontId="10" fillId="2" borderId="28" xfId="2" applyFont="1" applyFill="1" applyBorder="1" applyAlignment="1">
      <alignment horizontal="center"/>
    </xf>
    <xf numFmtId="0" fontId="12" fillId="3" borderId="29" xfId="2" applyFont="1" applyFill="1" applyBorder="1" applyAlignment="1" applyProtection="1">
      <alignment horizontal="center"/>
      <protection locked="0"/>
    </xf>
    <xf numFmtId="171" fontId="10" fillId="2" borderId="26" xfId="2" applyNumberFormat="1" applyFont="1" applyFill="1" applyBorder="1" applyAlignment="1">
      <alignment horizontal="center"/>
    </xf>
    <xf numFmtId="171" fontId="10" fillId="2" borderId="30" xfId="2" applyNumberFormat="1" applyFont="1" applyFill="1" applyBorder="1" applyAlignment="1">
      <alignment horizontal="center"/>
    </xf>
    <xf numFmtId="0" fontId="17" fillId="2" borderId="13" xfId="2" applyFont="1" applyFill="1" applyBorder="1"/>
    <xf numFmtId="0" fontId="10" fillId="2" borderId="24" xfId="2" applyFont="1" applyFill="1" applyBorder="1" applyAlignment="1">
      <alignment horizontal="center"/>
    </xf>
    <xf numFmtId="0" fontId="12" fillId="3" borderId="23" xfId="2" applyFont="1" applyFill="1" applyBorder="1" applyAlignment="1" applyProtection="1">
      <alignment horizontal="center"/>
      <protection locked="0"/>
    </xf>
    <xf numFmtId="171" fontId="10" fillId="2" borderId="31" xfId="2" applyNumberFormat="1" applyFont="1" applyFill="1" applyBorder="1" applyAlignment="1">
      <alignment horizontal="center"/>
    </xf>
    <xf numFmtId="171" fontId="10" fillId="2" borderId="32" xfId="2" applyNumberFormat="1" applyFont="1" applyFill="1" applyBorder="1" applyAlignment="1">
      <alignment horizontal="center"/>
    </xf>
    <xf numFmtId="10" fontId="14" fillId="2" borderId="14" xfId="2" applyNumberFormat="1" applyFont="1" applyFill="1" applyBorder="1" applyAlignment="1">
      <alignment horizontal="center" vertical="center"/>
    </xf>
    <xf numFmtId="0" fontId="10" fillId="2" borderId="33" xfId="2" applyFont="1" applyFill="1" applyBorder="1" applyAlignment="1">
      <alignment horizontal="center"/>
    </xf>
    <xf numFmtId="0" fontId="12" fillId="3" borderId="34" xfId="2" applyFont="1" applyFill="1" applyBorder="1" applyAlignment="1" applyProtection="1">
      <alignment horizontal="center"/>
      <protection locked="0"/>
    </xf>
    <xf numFmtId="171" fontId="10" fillId="2" borderId="35" xfId="2" applyNumberFormat="1" applyFont="1" applyFill="1" applyBorder="1" applyAlignment="1">
      <alignment horizontal="center"/>
    </xf>
    <xf numFmtId="171" fontId="10" fillId="2" borderId="36" xfId="2" applyNumberFormat="1" applyFont="1" applyFill="1" applyBorder="1" applyAlignment="1">
      <alignment horizontal="center"/>
    </xf>
    <xf numFmtId="0" fontId="10" fillId="2" borderId="15" xfId="2" applyFont="1" applyFill="1" applyBorder="1"/>
    <xf numFmtId="0" fontId="10" fillId="2" borderId="24" xfId="2" applyFont="1" applyFill="1" applyBorder="1" applyAlignment="1">
      <alignment horizontal="right"/>
    </xf>
    <xf numFmtId="1" fontId="11" fillId="6" borderId="37" xfId="2" applyNumberFormat="1" applyFont="1" applyFill="1" applyBorder="1" applyAlignment="1">
      <alignment horizontal="center"/>
    </xf>
    <xf numFmtId="171" fontId="11" fillId="6" borderId="38" xfId="2" applyNumberFormat="1" applyFont="1" applyFill="1" applyBorder="1" applyAlignment="1">
      <alignment horizontal="center"/>
    </xf>
    <xf numFmtId="171" fontId="11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0" fillId="2" borderId="40" xfId="2" applyFont="1" applyFill="1" applyBorder="1" applyAlignment="1">
      <alignment horizontal="right"/>
    </xf>
    <xf numFmtId="0" fontId="12" fillId="3" borderId="16" xfId="2" applyFont="1" applyFill="1" applyBorder="1" applyAlignment="1" applyProtection="1">
      <alignment horizontal="center"/>
      <protection locked="0"/>
    </xf>
    <xf numFmtId="0" fontId="10" fillId="2" borderId="11" xfId="2" applyFont="1" applyFill="1" applyBorder="1" applyAlignment="1">
      <alignment horizontal="right"/>
    </xf>
    <xf numFmtId="2" fontId="10" fillId="6" borderId="41" xfId="2" applyNumberFormat="1" applyFont="1" applyFill="1" applyBorder="1" applyAlignment="1">
      <alignment horizontal="center"/>
    </xf>
    <xf numFmtId="0" fontId="10" fillId="2" borderId="0" xfId="2" applyFont="1" applyFill="1" applyAlignment="1">
      <alignment horizontal="center"/>
    </xf>
    <xf numFmtId="2" fontId="10" fillId="7" borderId="41" xfId="2" applyNumberFormat="1" applyFont="1" applyFill="1" applyBorder="1" applyAlignment="1">
      <alignment horizontal="center"/>
    </xf>
    <xf numFmtId="2" fontId="10" fillId="2" borderId="0" xfId="2" applyNumberFormat="1" applyFont="1" applyFill="1" applyAlignment="1">
      <alignment horizontal="center"/>
    </xf>
    <xf numFmtId="0" fontId="18" fillId="2" borderId="21" xfId="2" applyFont="1" applyFill="1" applyBorder="1" applyAlignment="1">
      <alignment horizontal="left" vertical="center" wrapText="1"/>
    </xf>
    <xf numFmtId="0" fontId="18" fillId="2" borderId="22" xfId="2" applyFont="1" applyFill="1" applyBorder="1" applyAlignment="1">
      <alignment horizontal="left" vertical="center" wrapText="1"/>
    </xf>
    <xf numFmtId="166" fontId="10" fillId="6" borderId="41" xfId="2" applyNumberFormat="1" applyFont="1" applyFill="1" applyBorder="1" applyAlignment="1">
      <alignment horizontal="center"/>
    </xf>
    <xf numFmtId="166" fontId="10" fillId="2" borderId="0" xfId="2" applyNumberFormat="1" applyFont="1" applyFill="1" applyAlignment="1">
      <alignment horizontal="center"/>
    </xf>
    <xf numFmtId="166" fontId="10" fillId="6" borderId="17" xfId="2" applyNumberFormat="1" applyFont="1" applyFill="1" applyBorder="1" applyAlignment="1">
      <alignment horizontal="center"/>
    </xf>
    <xf numFmtId="0" fontId="18" fillId="2" borderId="43" xfId="2" applyFont="1" applyFill="1" applyBorder="1" applyAlignment="1">
      <alignment horizontal="left" vertical="center" wrapText="1"/>
    </xf>
    <xf numFmtId="0" fontId="18" fillId="2" borderId="44" xfId="2" applyFont="1" applyFill="1" applyBorder="1" applyAlignment="1">
      <alignment horizontal="left" vertical="center" wrapText="1"/>
    </xf>
    <xf numFmtId="0" fontId="10" fillId="2" borderId="42" xfId="2" applyFont="1" applyFill="1" applyBorder="1" applyAlignment="1">
      <alignment horizontal="right"/>
    </xf>
    <xf numFmtId="166" fontId="12" fillId="3" borderId="41" xfId="2" applyNumberFormat="1" applyFont="1" applyFill="1" applyBorder="1" applyAlignment="1" applyProtection="1">
      <alignment horizontal="center"/>
      <protection locked="0"/>
    </xf>
    <xf numFmtId="166" fontId="10" fillId="2" borderId="0" xfId="2" applyNumberFormat="1" applyFont="1" applyFill="1"/>
    <xf numFmtId="0" fontId="10" fillId="2" borderId="29" xfId="2" applyFont="1" applyFill="1" applyBorder="1" applyAlignment="1">
      <alignment horizontal="right"/>
    </xf>
    <xf numFmtId="1" fontId="10" fillId="2" borderId="0" xfId="2" applyNumberFormat="1" applyFont="1" applyFill="1" applyAlignment="1">
      <alignment horizontal="center"/>
    </xf>
    <xf numFmtId="0" fontId="10" fillId="2" borderId="15" xfId="2" applyFont="1" applyFill="1" applyBorder="1" applyAlignment="1">
      <alignment horizontal="right"/>
    </xf>
    <xf numFmtId="2" fontId="10" fillId="6" borderId="15" xfId="2" applyNumberFormat="1" applyFont="1" applyFill="1" applyBorder="1" applyAlignment="1">
      <alignment horizontal="center"/>
    </xf>
    <xf numFmtId="171" fontId="11" fillId="7" borderId="13" xfId="2" applyNumberFormat="1" applyFont="1" applyFill="1" applyBorder="1" applyAlignment="1">
      <alignment horizontal="center"/>
    </xf>
    <xf numFmtId="171" fontId="10" fillId="2" borderId="0" xfId="2" applyNumberFormat="1" applyFont="1" applyFill="1" applyAlignment="1">
      <alignment horizontal="center"/>
    </xf>
    <xf numFmtId="10" fontId="10" fillId="6" borderId="41" xfId="2" applyNumberFormat="1" applyFont="1" applyFill="1" applyBorder="1" applyAlignment="1">
      <alignment horizontal="center"/>
    </xf>
    <xf numFmtId="0" fontId="10" fillId="2" borderId="43" xfId="2" applyFont="1" applyFill="1" applyBorder="1" applyAlignment="1">
      <alignment horizontal="right"/>
    </xf>
    <xf numFmtId="0" fontId="10" fillId="7" borderId="15" xfId="2" applyFont="1" applyFill="1" applyBorder="1" applyAlignment="1">
      <alignment horizontal="center"/>
    </xf>
    <xf numFmtId="0" fontId="3" fillId="2" borderId="0" xfId="2" applyFont="1" applyFill="1"/>
    <xf numFmtId="0" fontId="11" fillId="2" borderId="0" xfId="2" applyFont="1" applyFill="1" applyAlignment="1">
      <alignment horizontal="left"/>
    </xf>
    <xf numFmtId="0" fontId="10" fillId="2" borderId="0" xfId="2" applyFont="1" applyFill="1" applyAlignment="1">
      <alignment horizontal="left"/>
    </xf>
    <xf numFmtId="172" fontId="12" fillId="3" borderId="0" xfId="2" applyNumberFormat="1" applyFont="1" applyFill="1" applyAlignment="1" applyProtection="1">
      <alignment horizontal="center"/>
      <protection locked="0"/>
    </xf>
    <xf numFmtId="166" fontId="11" fillId="2" borderId="0" xfId="2" applyNumberFormat="1" applyFont="1" applyFill="1" applyAlignment="1" applyProtection="1">
      <alignment horizontal="center"/>
      <protection locked="0"/>
    </xf>
    <xf numFmtId="2" fontId="11" fillId="2" borderId="13" xfId="2" applyNumberFormat="1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 vertical="center"/>
    </xf>
    <xf numFmtId="2" fontId="12" fillId="3" borderId="13" xfId="2" applyNumberFormat="1" applyFont="1" applyFill="1" applyBorder="1" applyAlignment="1" applyProtection="1">
      <alignment horizontal="center" vertical="center"/>
      <protection locked="0"/>
    </xf>
    <xf numFmtId="0" fontId="10" fillId="2" borderId="13" xfId="2" applyFont="1" applyFill="1" applyBorder="1" applyAlignment="1">
      <alignment horizontal="center"/>
    </xf>
    <xf numFmtId="0" fontId="12" fillId="3" borderId="21" xfId="2" applyFont="1" applyFill="1" applyBorder="1" applyAlignment="1" applyProtection="1">
      <alignment horizontal="center"/>
      <protection locked="0"/>
    </xf>
    <xf numFmtId="166" fontId="10" fillId="2" borderId="21" xfId="2" applyNumberFormat="1" applyFont="1" applyFill="1" applyBorder="1" applyAlignment="1">
      <alignment horizontal="center"/>
    </xf>
    <xf numFmtId="173" fontId="10" fillId="2" borderId="13" xfId="2" applyNumberFormat="1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2" fontId="12" fillId="3" borderId="14" xfId="2" applyNumberFormat="1" applyFont="1" applyFill="1" applyBorder="1" applyAlignment="1" applyProtection="1">
      <alignment horizontal="center" vertical="center"/>
      <protection locked="0"/>
    </xf>
    <xf numFmtId="0" fontId="10" fillId="2" borderId="14" xfId="2" applyFont="1" applyFill="1" applyBorder="1" applyAlignment="1">
      <alignment horizontal="center"/>
    </xf>
    <xf numFmtId="166" fontId="10" fillId="2" borderId="23" xfId="2" applyNumberFormat="1" applyFont="1" applyFill="1" applyBorder="1" applyAlignment="1">
      <alignment horizontal="center"/>
    </xf>
    <xf numFmtId="173" fontId="10" fillId="2" borderId="14" xfId="2" applyNumberFormat="1" applyFont="1" applyFill="1" applyBorder="1" applyAlignment="1">
      <alignment horizontal="center" vertical="center"/>
    </xf>
    <xf numFmtId="1" fontId="12" fillId="3" borderId="23" xfId="2" applyNumberFormat="1" applyFont="1" applyFill="1" applyBorder="1" applyAlignment="1" applyProtection="1">
      <alignment horizontal="center"/>
      <protection locked="0"/>
    </xf>
    <xf numFmtId="0" fontId="11" fillId="2" borderId="9" xfId="2" applyFont="1" applyFill="1" applyBorder="1" applyAlignment="1">
      <alignment horizontal="center" vertical="center"/>
    </xf>
    <xf numFmtId="2" fontId="12" fillId="3" borderId="15" xfId="2" applyNumberFormat="1" applyFont="1" applyFill="1" applyBorder="1" applyAlignment="1" applyProtection="1">
      <alignment horizontal="center" vertical="center"/>
      <protection locked="0"/>
    </xf>
    <xf numFmtId="0" fontId="10" fillId="2" borderId="15" xfId="2" applyFont="1" applyFill="1" applyBorder="1" applyAlignment="1">
      <alignment horizontal="center"/>
    </xf>
    <xf numFmtId="0" fontId="12" fillId="3" borderId="43" xfId="2" applyFont="1" applyFill="1" applyBorder="1" applyAlignment="1" applyProtection="1">
      <alignment horizontal="center"/>
      <protection locked="0"/>
    </xf>
    <xf numFmtId="166" fontId="10" fillId="2" borderId="43" xfId="2" applyNumberFormat="1" applyFont="1" applyFill="1" applyBorder="1" applyAlignment="1">
      <alignment horizontal="center"/>
    </xf>
    <xf numFmtId="173" fontId="10" fillId="2" borderId="15" xfId="2" applyNumberFormat="1" applyFont="1" applyFill="1" applyBorder="1" applyAlignment="1">
      <alignment horizontal="center" vertical="center"/>
    </xf>
    <xf numFmtId="0" fontId="13" fillId="2" borderId="24" xfId="2" applyFont="1" applyFill="1" applyBorder="1" applyAlignment="1">
      <alignment horizontal="center"/>
    </xf>
    <xf numFmtId="2" fontId="13" fillId="2" borderId="44" xfId="2" applyNumberFormat="1" applyFont="1" applyFill="1" applyBorder="1" applyAlignment="1">
      <alignment horizontal="center"/>
    </xf>
    <xf numFmtId="0" fontId="18" fillId="2" borderId="21" xfId="2" applyFont="1" applyFill="1" applyBorder="1" applyAlignment="1">
      <alignment horizontal="center" vertical="center" wrapText="1"/>
    </xf>
    <xf numFmtId="0" fontId="18" fillId="2" borderId="22" xfId="2" applyFont="1" applyFill="1" applyBorder="1" applyAlignment="1">
      <alignment horizontal="center" vertical="center" wrapText="1"/>
    </xf>
    <xf numFmtId="0" fontId="18" fillId="2" borderId="43" xfId="2" applyFont="1" applyFill="1" applyBorder="1" applyAlignment="1">
      <alignment horizontal="center" vertical="center" wrapText="1"/>
    </xf>
    <xf numFmtId="0" fontId="18" fillId="2" borderId="44" xfId="2" applyFont="1" applyFill="1" applyBorder="1" applyAlignment="1">
      <alignment horizontal="center" vertical="center" wrapText="1"/>
    </xf>
    <xf numFmtId="0" fontId="11" fillId="2" borderId="43" xfId="2" applyFont="1" applyFill="1" applyBorder="1" applyAlignment="1">
      <alignment horizontal="center" vertical="center"/>
    </xf>
    <xf numFmtId="0" fontId="10" fillId="2" borderId="45" xfId="2" applyFont="1" applyFill="1" applyBorder="1" applyAlignment="1">
      <alignment horizontal="right"/>
    </xf>
    <xf numFmtId="2" fontId="12" fillId="7" borderId="33" xfId="2" applyNumberFormat="1" applyFont="1" applyFill="1" applyBorder="1" applyAlignment="1">
      <alignment horizontal="center"/>
    </xf>
    <xf numFmtId="173" fontId="12" fillId="7" borderId="33" xfId="2" applyNumberFormat="1" applyFont="1" applyFill="1" applyBorder="1" applyAlignment="1">
      <alignment horizontal="center"/>
    </xf>
    <xf numFmtId="0" fontId="10" fillId="2" borderId="41" xfId="2" applyFont="1" applyFill="1" applyBorder="1" applyAlignment="1">
      <alignment horizontal="right"/>
    </xf>
    <xf numFmtId="10" fontId="12" fillId="6" borderId="54" xfId="2" applyNumberFormat="1" applyFont="1" applyFill="1" applyBorder="1" applyAlignment="1">
      <alignment horizontal="center"/>
    </xf>
    <xf numFmtId="0" fontId="10" fillId="2" borderId="17" xfId="2" applyFont="1" applyFill="1" applyBorder="1" applyAlignment="1">
      <alignment horizontal="right"/>
    </xf>
    <xf numFmtId="0" fontId="12" fillId="7" borderId="46" xfId="2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174" fontId="12" fillId="2" borderId="0" xfId="2" applyNumberFormat="1" applyFont="1" applyFill="1" applyAlignment="1">
      <alignment horizontal="center"/>
    </xf>
    <xf numFmtId="0" fontId="12" fillId="3" borderId="0" xfId="2" applyFont="1" applyFill="1" applyAlignment="1" applyProtection="1">
      <alignment horizontal="left"/>
      <protection locked="0"/>
    </xf>
    <xf numFmtId="0" fontId="11" fillId="2" borderId="47" xfId="2" applyFont="1" applyFill="1" applyBorder="1" applyAlignment="1">
      <alignment horizontal="center"/>
    </xf>
    <xf numFmtId="0" fontId="11" fillId="2" borderId="40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1" fillId="2" borderId="30" xfId="2" applyFont="1" applyFill="1" applyBorder="1" applyAlignment="1">
      <alignment horizontal="center"/>
    </xf>
    <xf numFmtId="0" fontId="10" fillId="2" borderId="48" xfId="2" applyFont="1" applyFill="1" applyBorder="1" applyAlignment="1">
      <alignment horizontal="center"/>
    </xf>
    <xf numFmtId="0" fontId="10" fillId="2" borderId="7" xfId="2" applyFont="1" applyFill="1" applyBorder="1" applyAlignment="1">
      <alignment horizontal="center"/>
    </xf>
    <xf numFmtId="171" fontId="12" fillId="3" borderId="34" xfId="2" applyNumberFormat="1" applyFont="1" applyFill="1" applyBorder="1" applyAlignment="1" applyProtection="1">
      <alignment horizontal="center"/>
      <protection locked="0"/>
    </xf>
    <xf numFmtId="1" fontId="11" fillId="6" borderId="49" xfId="2" applyNumberFormat="1" applyFont="1" applyFill="1" applyBorder="1" applyAlignment="1">
      <alignment horizontal="center"/>
    </xf>
    <xf numFmtId="1" fontId="11" fillId="6" borderId="50" xfId="2" applyNumberFormat="1" applyFont="1" applyFill="1" applyBorder="1" applyAlignment="1">
      <alignment horizontal="center"/>
    </xf>
    <xf numFmtId="171" fontId="11" fillId="6" borderId="15" xfId="2" applyNumberFormat="1" applyFont="1" applyFill="1" applyBorder="1" applyAlignment="1">
      <alignment horizontal="center"/>
    </xf>
    <xf numFmtId="0" fontId="10" fillId="2" borderId="51" xfId="2" applyFont="1" applyFill="1" applyBorder="1" applyAlignment="1">
      <alignment horizontal="right"/>
    </xf>
    <xf numFmtId="0" fontId="12" fillId="3" borderId="52" xfId="2" applyFont="1" applyFill="1" applyBorder="1" applyAlignment="1" applyProtection="1">
      <alignment horizontal="center"/>
      <protection locked="0"/>
    </xf>
    <xf numFmtId="0" fontId="10" fillId="2" borderId="25" xfId="2" applyFont="1" applyFill="1" applyBorder="1" applyAlignment="1">
      <alignment horizontal="right"/>
    </xf>
    <xf numFmtId="2" fontId="10" fillId="6" borderId="27" xfId="2" applyNumberFormat="1" applyFont="1" applyFill="1" applyBorder="1" applyAlignment="1">
      <alignment horizontal="center"/>
    </xf>
    <xf numFmtId="2" fontId="10" fillId="7" borderId="27" xfId="2" applyNumberFormat="1" applyFont="1" applyFill="1" applyBorder="1" applyAlignment="1">
      <alignment horizontal="center"/>
    </xf>
    <xf numFmtId="0" fontId="18" fillId="2" borderId="10" xfId="2" applyFont="1" applyFill="1" applyBorder="1" applyAlignment="1">
      <alignment horizontal="left" vertical="center" wrapText="1"/>
    </xf>
    <xf numFmtId="166" fontId="10" fillId="6" borderId="27" xfId="2" applyNumberFormat="1" applyFont="1" applyFill="1" applyBorder="1" applyAlignment="1">
      <alignment horizontal="center"/>
    </xf>
    <xf numFmtId="0" fontId="18" fillId="2" borderId="9" xfId="2" applyFont="1" applyFill="1" applyBorder="1" applyAlignment="1">
      <alignment horizontal="left" vertical="center" wrapText="1"/>
    </xf>
    <xf numFmtId="166" fontId="10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0" fillId="2" borderId="53" xfId="2" applyFont="1" applyFill="1" applyBorder="1" applyAlignment="1">
      <alignment horizontal="right"/>
    </xf>
    <xf numFmtId="2" fontId="10" fillId="7" borderId="30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 wrapText="1"/>
    </xf>
    <xf numFmtId="0" fontId="10" fillId="2" borderId="16" xfId="2" applyFont="1" applyFill="1" applyBorder="1" applyAlignment="1">
      <alignment horizontal="right"/>
    </xf>
    <xf numFmtId="171" fontId="11" fillId="7" borderId="16" xfId="2" applyNumberFormat="1" applyFont="1" applyFill="1" applyBorder="1" applyAlignment="1">
      <alignment horizontal="center"/>
    </xf>
    <xf numFmtId="10" fontId="10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7" borderId="17" xfId="2" applyFont="1" applyFill="1" applyBorder="1" applyAlignment="1">
      <alignment horizontal="center"/>
    </xf>
    <xf numFmtId="0" fontId="11" fillId="2" borderId="22" xfId="2" applyFont="1" applyFill="1" applyBorder="1" applyAlignment="1">
      <alignment horizontal="center" wrapText="1"/>
    </xf>
    <xf numFmtId="1" fontId="12" fillId="3" borderId="13" xfId="2" applyNumberFormat="1" applyFont="1" applyFill="1" applyBorder="1" applyAlignment="1" applyProtection="1">
      <alignment horizontal="center"/>
      <protection locked="0"/>
    </xf>
    <xf numFmtId="166" fontId="10" fillId="2" borderId="13" xfId="2" applyNumberFormat="1" applyFont="1" applyFill="1" applyBorder="1" applyAlignment="1">
      <alignment horizontal="center"/>
    </xf>
    <xf numFmtId="173" fontId="10" fillId="2" borderId="22" xfId="2" applyNumberFormat="1" applyFont="1" applyFill="1" applyBorder="1" applyAlignment="1">
      <alignment horizontal="center"/>
    </xf>
    <xf numFmtId="1" fontId="12" fillId="3" borderId="14" xfId="2" applyNumberFormat="1" applyFont="1" applyFill="1" applyBorder="1" applyAlignment="1" applyProtection="1">
      <alignment horizontal="center"/>
      <protection locked="0"/>
    </xf>
    <xf numFmtId="166" fontId="10" fillId="2" borderId="14" xfId="2" applyNumberFormat="1" applyFont="1" applyFill="1" applyBorder="1" applyAlignment="1">
      <alignment horizontal="center"/>
    </xf>
    <xf numFmtId="173" fontId="10" fillId="2" borderId="24" xfId="2" applyNumberFormat="1" applyFont="1" applyFill="1" applyBorder="1" applyAlignment="1">
      <alignment horizontal="center"/>
    </xf>
    <xf numFmtId="1" fontId="12" fillId="3" borderId="15" xfId="2" applyNumberFormat="1" applyFont="1" applyFill="1" applyBorder="1" applyAlignment="1" applyProtection="1">
      <alignment horizontal="center"/>
      <protection locked="0"/>
    </xf>
    <xf numFmtId="166" fontId="10" fillId="2" borderId="15" xfId="2" applyNumberFormat="1" applyFont="1" applyFill="1" applyBorder="1" applyAlignment="1">
      <alignment horizontal="center"/>
    </xf>
    <xf numFmtId="173" fontId="10" fillId="2" borderId="44" xfId="2" applyNumberFormat="1" applyFont="1" applyFill="1" applyBorder="1" applyAlignment="1">
      <alignment horizontal="center"/>
    </xf>
    <xf numFmtId="0" fontId="10" fillId="2" borderId="23" xfId="2" applyFont="1" applyFill="1" applyBorder="1" applyAlignment="1">
      <alignment horizontal="center"/>
    </xf>
    <xf numFmtId="171" fontId="10" fillId="2" borderId="16" xfId="2" applyNumberFormat="1" applyFont="1" applyFill="1" applyBorder="1" applyAlignment="1">
      <alignment horizontal="right"/>
    </xf>
    <xf numFmtId="2" fontId="12" fillId="7" borderId="55" xfId="2" applyNumberFormat="1" applyFont="1" applyFill="1" applyBorder="1" applyAlignment="1">
      <alignment horizontal="center"/>
    </xf>
    <xf numFmtId="174" fontId="12" fillId="7" borderId="52" xfId="2" applyNumberFormat="1" applyFont="1" applyFill="1" applyBorder="1" applyAlignment="1">
      <alignment horizontal="center"/>
    </xf>
    <xf numFmtId="0" fontId="10" fillId="2" borderId="23" xfId="2" applyFont="1" applyFill="1" applyBorder="1"/>
    <xf numFmtId="0" fontId="10" fillId="2" borderId="14" xfId="2" applyFont="1" applyFill="1" applyBorder="1" applyAlignment="1">
      <alignment horizontal="right"/>
    </xf>
    <xf numFmtId="10" fontId="12" fillId="6" borderId="27" xfId="2" applyNumberFormat="1" applyFont="1" applyFill="1" applyBorder="1" applyAlignment="1">
      <alignment horizontal="center"/>
    </xf>
    <xf numFmtId="0" fontId="10" fillId="2" borderId="43" xfId="2" applyFont="1" applyFill="1" applyBorder="1"/>
    <xf numFmtId="0" fontId="12" fillId="7" borderId="28" xfId="2" applyFont="1" applyFill="1" applyBorder="1" applyAlignment="1">
      <alignment horizontal="center"/>
    </xf>
    <xf numFmtId="0" fontId="12" fillId="7" borderId="56" xfId="2" applyFont="1" applyFill="1" applyBorder="1" applyAlignment="1">
      <alignment horizontal="center"/>
    </xf>
    <xf numFmtId="0" fontId="10" fillId="2" borderId="13" xfId="2" applyFont="1" applyFill="1" applyBorder="1"/>
    <xf numFmtId="0" fontId="11" fillId="2" borderId="47" xfId="2" applyFont="1" applyFill="1" applyBorder="1" applyAlignment="1">
      <alignment horizontal="center" vertical="center"/>
    </xf>
    <xf numFmtId="0" fontId="11" fillId="2" borderId="55" xfId="2" applyFont="1" applyFill="1" applyBorder="1" applyAlignment="1">
      <alignment horizontal="center" vertical="center"/>
    </xf>
    <xf numFmtId="0" fontId="18" fillId="2" borderId="0" xfId="2" applyFont="1" applyFill="1" applyAlignment="1">
      <alignment horizontal="right" vertical="center" wrapText="1"/>
    </xf>
    <xf numFmtId="2" fontId="12" fillId="6" borderId="54" xfId="2" applyNumberFormat="1" applyFont="1" applyFill="1" applyBorder="1" applyAlignment="1">
      <alignment horizontal="center"/>
    </xf>
    <xf numFmtId="174" fontId="12" fillId="6" borderId="54" xfId="2" applyNumberFormat="1" applyFont="1" applyFill="1" applyBorder="1" applyAlignment="1">
      <alignment horizontal="center"/>
    </xf>
    <xf numFmtId="2" fontId="12" fillId="7" borderId="46" xfId="2" applyNumberFormat="1" applyFont="1" applyFill="1" applyBorder="1" applyAlignment="1">
      <alignment horizontal="center"/>
    </xf>
    <xf numFmtId="174" fontId="12" fillId="7" borderId="46" xfId="2" applyNumberFormat="1" applyFont="1" applyFill="1" applyBorder="1" applyAlignment="1">
      <alignment horizontal="center"/>
    </xf>
    <xf numFmtId="175" fontId="19" fillId="2" borderId="0" xfId="2" applyNumberFormat="1" applyFont="1" applyFill="1" applyAlignment="1">
      <alignment horizontal="center"/>
    </xf>
    <xf numFmtId="165" fontId="12" fillId="2" borderId="0" xfId="2" applyNumberFormat="1" applyFont="1" applyFill="1" applyAlignment="1">
      <alignment horizontal="center"/>
    </xf>
    <xf numFmtId="0" fontId="18" fillId="2" borderId="9" xfId="2" applyFont="1" applyFill="1" applyBorder="1" applyAlignment="1">
      <alignment horizontal="left" vertical="center" wrapText="1"/>
    </xf>
    <xf numFmtId="0" fontId="10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0" fillId="2" borderId="10" xfId="2" applyFont="1" applyFill="1" applyBorder="1" applyAlignment="1">
      <alignment horizontal="center"/>
    </xf>
    <xf numFmtId="0" fontId="10" fillId="2" borderId="7" xfId="2" applyFont="1" applyFill="1" applyBorder="1"/>
    <xf numFmtId="0" fontId="11" fillId="2" borderId="11" xfId="2" applyFont="1" applyFill="1" applyBorder="1"/>
    <xf numFmtId="0" fontId="10" fillId="2" borderId="11" xfId="2" applyFont="1" applyFill="1" applyBorder="1"/>
    <xf numFmtId="0" fontId="20" fillId="2" borderId="0" xfId="3" applyFont="1" applyFill="1" applyAlignment="1">
      <alignment horizontal="center" vertical="center"/>
    </xf>
    <xf numFmtId="0" fontId="2" fillId="2" borderId="0" xfId="3" applyFont="1" applyFill="1"/>
    <xf numFmtId="0" fontId="21" fillId="2" borderId="0" xfId="3" applyFont="1" applyFill="1" applyAlignment="1">
      <alignment horizontal="center" vertical="center"/>
    </xf>
    <xf numFmtId="0" fontId="10" fillId="2" borderId="0" xfId="3" applyFont="1" applyFill="1"/>
    <xf numFmtId="0" fontId="18" fillId="2" borderId="18" xfId="3" applyFont="1" applyFill="1" applyBorder="1" applyAlignment="1">
      <alignment horizontal="center"/>
    </xf>
    <xf numFmtId="0" fontId="18" fillId="2" borderId="19" xfId="3" applyFont="1" applyFill="1" applyBorder="1" applyAlignment="1">
      <alignment horizontal="center"/>
    </xf>
    <xf numFmtId="0" fontId="18" fillId="2" borderId="20" xfId="3" applyFont="1" applyFill="1" applyBorder="1" applyAlignment="1">
      <alignment horizontal="center"/>
    </xf>
    <xf numFmtId="0" fontId="22" fillId="2" borderId="10" xfId="3" applyFont="1" applyFill="1" applyBorder="1" applyAlignment="1">
      <alignment horizontal="center" vertical="center"/>
    </xf>
    <xf numFmtId="0" fontId="24" fillId="2" borderId="0" xfId="3" applyFill="1"/>
    <xf numFmtId="0" fontId="11" fillId="2" borderId="0" xfId="3" applyFont="1" applyFill="1"/>
    <xf numFmtId="0" fontId="12" fillId="3" borderId="0" xfId="3" applyFont="1" applyFill="1" applyAlignment="1" applyProtection="1">
      <alignment horizontal="left" wrapText="1"/>
      <protection locked="0"/>
    </xf>
    <xf numFmtId="0" fontId="12" fillId="2" borderId="0" xfId="3" applyFont="1" applyFill="1" applyAlignment="1" applyProtection="1">
      <alignment horizontal="right"/>
      <protection locked="0"/>
    </xf>
    <xf numFmtId="0" fontId="12" fillId="2" borderId="0" xfId="3" applyFont="1" applyFill="1" applyAlignment="1" applyProtection="1">
      <alignment horizontal="left"/>
      <protection locked="0"/>
    </xf>
    <xf numFmtId="0" fontId="13" fillId="2" borderId="0" xfId="3" applyFont="1" applyFill="1"/>
    <xf numFmtId="0" fontId="13" fillId="3" borderId="0" xfId="3" applyFont="1" applyFill="1" applyAlignment="1" applyProtection="1">
      <alignment horizontal="left"/>
      <protection locked="0"/>
    </xf>
    <xf numFmtId="0" fontId="13" fillId="3" borderId="0" xfId="3" applyFont="1" applyFill="1" applyAlignment="1" applyProtection="1">
      <alignment horizontal="left" wrapText="1"/>
      <protection locked="0"/>
    </xf>
    <xf numFmtId="0" fontId="10" fillId="3" borderId="0" xfId="3" applyFont="1" applyFill="1" applyProtection="1">
      <protection locked="0"/>
    </xf>
    <xf numFmtId="168" fontId="13" fillId="3" borderId="0" xfId="3" applyNumberFormat="1" applyFont="1" applyFill="1" applyAlignment="1" applyProtection="1">
      <alignment horizontal="center"/>
      <protection locked="0"/>
    </xf>
    <xf numFmtId="169" fontId="10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1" fillId="2" borderId="0" xfId="3" applyFont="1" applyFill="1" applyAlignment="1">
      <alignment horizontal="right"/>
    </xf>
    <xf numFmtId="0" fontId="10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left"/>
      <protection locked="0"/>
    </xf>
    <xf numFmtId="0" fontId="12" fillId="3" borderId="0" xfId="3" applyFont="1" applyFill="1" applyAlignment="1" applyProtection="1">
      <alignment horizontal="center"/>
      <protection locked="0"/>
    </xf>
    <xf numFmtId="0" fontId="13" fillId="3" borderId="0" xfId="3" applyFont="1" applyFill="1" applyAlignment="1" applyProtection="1">
      <alignment horizontal="center"/>
      <protection locked="0"/>
    </xf>
    <xf numFmtId="0" fontId="18" fillId="2" borderId="18" xfId="3" applyFont="1" applyFill="1" applyBorder="1" applyAlignment="1">
      <alignment horizontal="justify" vertical="center" wrapText="1"/>
    </xf>
    <xf numFmtId="0" fontId="18" fillId="2" borderId="19" xfId="3" applyFont="1" applyFill="1" applyBorder="1" applyAlignment="1">
      <alignment horizontal="justify" vertical="center" wrapText="1"/>
    </xf>
    <xf numFmtId="0" fontId="18" fillId="2" borderId="20" xfId="3" applyFont="1" applyFill="1" applyBorder="1" applyAlignment="1">
      <alignment horizontal="justify" vertical="center" wrapText="1"/>
    </xf>
    <xf numFmtId="0" fontId="5" fillId="2" borderId="1" xfId="3" applyFont="1" applyFill="1" applyBorder="1" applyAlignment="1">
      <alignment horizontal="center"/>
    </xf>
    <xf numFmtId="0" fontId="14" fillId="2" borderId="0" xfId="3" applyFont="1" applyFill="1" applyAlignment="1">
      <alignment vertical="center" wrapText="1"/>
    </xf>
    <xf numFmtId="0" fontId="11" fillId="2" borderId="0" xfId="3" applyFont="1" applyFill="1" applyAlignment="1">
      <alignment horizontal="center"/>
    </xf>
    <xf numFmtId="0" fontId="15" fillId="2" borderId="0" xfId="3" applyFont="1" applyFill="1"/>
    <xf numFmtId="0" fontId="16" fillId="2" borderId="0" xfId="3" applyFont="1" applyFill="1"/>
    <xf numFmtId="2" fontId="12" fillId="3" borderId="0" xfId="3" applyNumberFormat="1" applyFont="1" applyFill="1" applyAlignment="1" applyProtection="1">
      <alignment horizontal="center"/>
      <protection locked="0"/>
    </xf>
    <xf numFmtId="0" fontId="18" fillId="2" borderId="18" xfId="3" applyFont="1" applyFill="1" applyBorder="1" applyAlignment="1">
      <alignment horizontal="left" vertical="center" wrapText="1"/>
    </xf>
    <xf numFmtId="0" fontId="18" fillId="2" borderId="19" xfId="3" applyFont="1" applyFill="1" applyBorder="1" applyAlignment="1">
      <alignment horizontal="left" vertical="center" wrapText="1"/>
    </xf>
    <xf numFmtId="0" fontId="18" fillId="2" borderId="20" xfId="3" applyFont="1" applyFill="1" applyBorder="1" applyAlignment="1">
      <alignment horizontal="left" vertical="center" wrapText="1"/>
    </xf>
    <xf numFmtId="0" fontId="11" fillId="2" borderId="0" xfId="3" applyFont="1" applyFill="1" applyAlignment="1">
      <alignment vertical="center" wrapText="1"/>
    </xf>
    <xf numFmtId="0" fontId="17" fillId="2" borderId="0" xfId="3" applyFont="1" applyFill="1"/>
    <xf numFmtId="2" fontId="11" fillId="2" borderId="0" xfId="3" applyNumberFormat="1" applyFont="1" applyFill="1" applyAlignment="1">
      <alignment horizontal="center"/>
    </xf>
    <xf numFmtId="0" fontId="18" fillId="2" borderId="0" xfId="3" applyFont="1" applyFill="1" applyAlignment="1">
      <alignment horizontal="left" vertical="center" wrapText="1"/>
    </xf>
    <xf numFmtId="170" fontId="11" fillId="2" borderId="0" xfId="3" applyNumberFormat="1" applyFont="1" applyFill="1" applyAlignment="1">
      <alignment horizontal="center"/>
    </xf>
    <xf numFmtId="0" fontId="10" fillId="2" borderId="21" xfId="3" applyFont="1" applyFill="1" applyBorder="1" applyAlignment="1">
      <alignment horizontal="right"/>
    </xf>
    <xf numFmtId="0" fontId="12" fillId="3" borderId="22" xfId="3" applyFont="1" applyFill="1" applyBorder="1" applyAlignment="1" applyProtection="1">
      <alignment horizontal="center"/>
      <protection locked="0"/>
    </xf>
    <xf numFmtId="0" fontId="11" fillId="2" borderId="47" xfId="3" applyFont="1" applyFill="1" applyBorder="1" applyAlignment="1">
      <alignment horizontal="center"/>
    </xf>
    <xf numFmtId="0" fontId="11" fillId="2" borderId="40" xfId="3" applyFont="1" applyFill="1" applyBorder="1" applyAlignment="1">
      <alignment horizontal="center"/>
    </xf>
    <xf numFmtId="0" fontId="11" fillId="2" borderId="55" xfId="3" applyFont="1" applyFill="1" applyBorder="1" applyAlignment="1">
      <alignment horizontal="center"/>
    </xf>
    <xf numFmtId="0" fontId="10" fillId="2" borderId="23" xfId="3" applyFont="1" applyFill="1" applyBorder="1" applyAlignment="1">
      <alignment horizontal="right"/>
    </xf>
    <xf numFmtId="0" fontId="12" fillId="3" borderId="24" xfId="3" applyFont="1" applyFill="1" applyBorder="1" applyAlignment="1" applyProtection="1">
      <alignment horizontal="center"/>
      <protection locked="0"/>
    </xf>
    <xf numFmtId="0" fontId="11" fillId="2" borderId="22" xfId="3" applyFont="1" applyFill="1" applyBorder="1" applyAlignment="1">
      <alignment horizontal="center"/>
    </xf>
    <xf numFmtId="0" fontId="11" fillId="2" borderId="25" xfId="3" applyFont="1" applyFill="1" applyBorder="1" applyAlignment="1">
      <alignment horizontal="center"/>
    </xf>
    <xf numFmtId="0" fontId="11" fillId="2" borderId="26" xfId="3" applyFont="1" applyFill="1" applyBorder="1" applyAlignment="1">
      <alignment horizontal="center"/>
    </xf>
    <xf numFmtId="0" fontId="11" fillId="2" borderId="27" xfId="3" applyFont="1" applyFill="1" applyBorder="1" applyAlignment="1">
      <alignment horizontal="center"/>
    </xf>
    <xf numFmtId="0" fontId="11" fillId="2" borderId="12" xfId="3" applyFont="1" applyFill="1" applyBorder="1" applyAlignment="1">
      <alignment horizontal="center"/>
    </xf>
    <xf numFmtId="0" fontId="10" fillId="2" borderId="28" xfId="3" applyFont="1" applyFill="1" applyBorder="1" applyAlignment="1">
      <alignment horizontal="center"/>
    </xf>
    <xf numFmtId="0" fontId="12" fillId="3" borderId="29" xfId="3" applyFont="1" applyFill="1" applyBorder="1" applyAlignment="1" applyProtection="1">
      <alignment horizontal="center"/>
      <protection locked="0"/>
    </xf>
    <xf numFmtId="171" fontId="10" fillId="2" borderId="26" xfId="3" applyNumberFormat="1" applyFont="1" applyFill="1" applyBorder="1" applyAlignment="1">
      <alignment horizontal="center"/>
    </xf>
    <xf numFmtId="171" fontId="10" fillId="2" borderId="30" xfId="3" applyNumberFormat="1" applyFont="1" applyFill="1" applyBorder="1" applyAlignment="1">
      <alignment horizontal="center"/>
    </xf>
    <xf numFmtId="0" fontId="17" fillId="2" borderId="13" xfId="3" applyFont="1" applyFill="1" applyBorder="1"/>
    <xf numFmtId="0" fontId="10" fillId="2" borderId="24" xfId="3" applyFont="1" applyFill="1" applyBorder="1" applyAlignment="1">
      <alignment horizontal="center"/>
    </xf>
    <xf numFmtId="0" fontId="12" fillId="3" borderId="23" xfId="3" applyFont="1" applyFill="1" applyBorder="1" applyAlignment="1" applyProtection="1">
      <alignment horizontal="center"/>
      <protection locked="0"/>
    </xf>
    <xf numFmtId="171" fontId="10" fillId="2" borderId="31" xfId="3" applyNumberFormat="1" applyFont="1" applyFill="1" applyBorder="1" applyAlignment="1">
      <alignment horizontal="center"/>
    </xf>
    <xf numFmtId="171" fontId="10" fillId="2" borderId="32" xfId="3" applyNumberFormat="1" applyFont="1" applyFill="1" applyBorder="1" applyAlignment="1">
      <alignment horizontal="center"/>
    </xf>
    <xf numFmtId="10" fontId="14" fillId="2" borderId="14" xfId="3" applyNumberFormat="1" applyFont="1" applyFill="1" applyBorder="1" applyAlignment="1">
      <alignment horizontal="center" vertical="center"/>
    </xf>
    <xf numFmtId="0" fontId="10" fillId="2" borderId="33" xfId="3" applyFont="1" applyFill="1" applyBorder="1" applyAlignment="1">
      <alignment horizontal="center"/>
    </xf>
    <xf numFmtId="0" fontId="12" fillId="3" borderId="34" xfId="3" applyFont="1" applyFill="1" applyBorder="1" applyAlignment="1" applyProtection="1">
      <alignment horizontal="center"/>
      <protection locked="0"/>
    </xf>
    <xf numFmtId="171" fontId="10" fillId="2" borderId="35" xfId="3" applyNumberFormat="1" applyFont="1" applyFill="1" applyBorder="1" applyAlignment="1">
      <alignment horizontal="center"/>
    </xf>
    <xf numFmtId="171" fontId="10" fillId="2" borderId="36" xfId="3" applyNumberFormat="1" applyFont="1" applyFill="1" applyBorder="1" applyAlignment="1">
      <alignment horizontal="center"/>
    </xf>
    <xf numFmtId="0" fontId="10" fillId="2" borderId="15" xfId="3" applyFont="1" applyFill="1" applyBorder="1"/>
    <xf numFmtId="0" fontId="10" fillId="2" borderId="24" xfId="3" applyFont="1" applyFill="1" applyBorder="1" applyAlignment="1">
      <alignment horizontal="right"/>
    </xf>
    <xf numFmtId="1" fontId="11" fillId="6" borderId="37" xfId="3" applyNumberFormat="1" applyFont="1" applyFill="1" applyBorder="1" applyAlignment="1">
      <alignment horizontal="center"/>
    </xf>
    <xf numFmtId="171" fontId="11" fillId="6" borderId="38" xfId="3" applyNumberFormat="1" applyFont="1" applyFill="1" applyBorder="1" applyAlignment="1">
      <alignment horizontal="center"/>
    </xf>
    <xf numFmtId="171" fontId="11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0" fillId="2" borderId="40" xfId="3" applyFont="1" applyFill="1" applyBorder="1" applyAlignment="1">
      <alignment horizontal="right"/>
    </xf>
    <xf numFmtId="0" fontId="12" fillId="3" borderId="16" xfId="3" applyFont="1" applyFill="1" applyBorder="1" applyAlignment="1" applyProtection="1">
      <alignment horizontal="center"/>
      <protection locked="0"/>
    </xf>
    <xf numFmtId="0" fontId="10" fillId="2" borderId="11" xfId="3" applyFont="1" applyFill="1" applyBorder="1" applyAlignment="1">
      <alignment horizontal="right"/>
    </xf>
    <xf numFmtId="2" fontId="10" fillId="6" borderId="41" xfId="3" applyNumberFormat="1" applyFont="1" applyFill="1" applyBorder="1" applyAlignment="1">
      <alignment horizontal="center"/>
    </xf>
    <xf numFmtId="0" fontId="10" fillId="2" borderId="0" xfId="3" applyFont="1" applyFill="1" applyAlignment="1">
      <alignment horizontal="center"/>
    </xf>
    <xf numFmtId="2" fontId="10" fillId="7" borderId="41" xfId="3" applyNumberFormat="1" applyFont="1" applyFill="1" applyBorder="1" applyAlignment="1">
      <alignment horizontal="center"/>
    </xf>
    <xf numFmtId="2" fontId="10" fillId="2" borderId="0" xfId="3" applyNumberFormat="1" applyFont="1" applyFill="1" applyAlignment="1">
      <alignment horizontal="center"/>
    </xf>
    <xf numFmtId="0" fontId="18" fillId="2" borderId="21" xfId="3" applyFont="1" applyFill="1" applyBorder="1" applyAlignment="1">
      <alignment horizontal="left" vertical="center" wrapText="1"/>
    </xf>
    <xf numFmtId="0" fontId="18" fillId="2" borderId="22" xfId="3" applyFont="1" applyFill="1" applyBorder="1" applyAlignment="1">
      <alignment horizontal="left" vertical="center" wrapText="1"/>
    </xf>
    <xf numFmtId="166" fontId="10" fillId="6" borderId="41" xfId="3" applyNumberFormat="1" applyFont="1" applyFill="1" applyBorder="1" applyAlignment="1">
      <alignment horizontal="center"/>
    </xf>
    <xf numFmtId="166" fontId="10" fillId="2" borderId="0" xfId="3" applyNumberFormat="1" applyFont="1" applyFill="1" applyAlignment="1">
      <alignment horizontal="center"/>
    </xf>
    <xf numFmtId="166" fontId="10" fillId="6" borderId="17" xfId="3" applyNumberFormat="1" applyFont="1" applyFill="1" applyBorder="1" applyAlignment="1">
      <alignment horizontal="center"/>
    </xf>
    <xf numFmtId="0" fontId="18" fillId="2" borderId="43" xfId="3" applyFont="1" applyFill="1" applyBorder="1" applyAlignment="1">
      <alignment horizontal="left" vertical="center" wrapText="1"/>
    </xf>
    <xf numFmtId="0" fontId="18" fillId="2" borderId="44" xfId="3" applyFont="1" applyFill="1" applyBorder="1" applyAlignment="1">
      <alignment horizontal="left" vertical="center" wrapText="1"/>
    </xf>
    <xf numFmtId="0" fontId="10" fillId="2" borderId="42" xfId="3" applyFont="1" applyFill="1" applyBorder="1" applyAlignment="1">
      <alignment horizontal="right"/>
    </xf>
    <xf numFmtId="166" fontId="12" fillId="3" borderId="41" xfId="3" applyNumberFormat="1" applyFont="1" applyFill="1" applyBorder="1" applyAlignment="1" applyProtection="1">
      <alignment horizontal="center"/>
      <protection locked="0"/>
    </xf>
    <xf numFmtId="166" fontId="10" fillId="2" borderId="0" xfId="3" applyNumberFormat="1" applyFont="1" applyFill="1"/>
    <xf numFmtId="0" fontId="10" fillId="2" borderId="29" xfId="3" applyFont="1" applyFill="1" applyBorder="1" applyAlignment="1">
      <alignment horizontal="right"/>
    </xf>
    <xf numFmtId="1" fontId="10" fillId="2" borderId="0" xfId="3" applyNumberFormat="1" applyFont="1" applyFill="1" applyAlignment="1">
      <alignment horizontal="center"/>
    </xf>
    <xf numFmtId="0" fontId="10" fillId="2" borderId="15" xfId="3" applyFont="1" applyFill="1" applyBorder="1" applyAlignment="1">
      <alignment horizontal="right"/>
    </xf>
    <xf numFmtId="2" fontId="10" fillId="6" borderId="15" xfId="3" applyNumberFormat="1" applyFont="1" applyFill="1" applyBorder="1" applyAlignment="1">
      <alignment horizontal="center"/>
    </xf>
    <xf numFmtId="171" fontId="11" fillId="7" borderId="13" xfId="3" applyNumberFormat="1" applyFont="1" applyFill="1" applyBorder="1" applyAlignment="1">
      <alignment horizontal="center"/>
    </xf>
    <xf numFmtId="171" fontId="10" fillId="2" borderId="0" xfId="3" applyNumberFormat="1" applyFont="1" applyFill="1" applyAlignment="1">
      <alignment horizontal="center"/>
    </xf>
    <xf numFmtId="10" fontId="10" fillId="6" borderId="41" xfId="3" applyNumberFormat="1" applyFont="1" applyFill="1" applyBorder="1" applyAlignment="1">
      <alignment horizontal="center"/>
    </xf>
    <xf numFmtId="0" fontId="10" fillId="2" borderId="43" xfId="3" applyFont="1" applyFill="1" applyBorder="1" applyAlignment="1">
      <alignment horizontal="right"/>
    </xf>
    <xf numFmtId="0" fontId="10" fillId="7" borderId="15" xfId="3" applyFont="1" applyFill="1" applyBorder="1" applyAlignment="1">
      <alignment horizontal="center"/>
    </xf>
    <xf numFmtId="0" fontId="3" fillId="2" borderId="0" xfId="3" applyFont="1" applyFill="1"/>
    <xf numFmtId="0" fontId="11" fillId="2" borderId="0" xfId="3" applyFont="1" applyFill="1" applyAlignment="1">
      <alignment horizontal="left"/>
    </xf>
    <xf numFmtId="0" fontId="10" fillId="2" borderId="0" xfId="3" applyFont="1" applyFill="1" applyAlignment="1">
      <alignment horizontal="left"/>
    </xf>
    <xf numFmtId="172" fontId="12" fillId="3" borderId="0" xfId="3" applyNumberFormat="1" applyFont="1" applyFill="1" applyAlignment="1" applyProtection="1">
      <alignment horizontal="center"/>
      <protection locked="0"/>
    </xf>
    <xf numFmtId="166" fontId="11" fillId="2" borderId="0" xfId="3" applyNumberFormat="1" applyFont="1" applyFill="1" applyAlignment="1" applyProtection="1">
      <alignment horizontal="center"/>
      <protection locked="0"/>
    </xf>
    <xf numFmtId="2" fontId="11" fillId="2" borderId="13" xfId="3" applyNumberFormat="1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1" fillId="2" borderId="10" xfId="3" applyFont="1" applyFill="1" applyBorder="1" applyAlignment="1">
      <alignment horizontal="center" vertical="center"/>
    </xf>
    <xf numFmtId="2" fontId="12" fillId="3" borderId="13" xfId="3" applyNumberFormat="1" applyFont="1" applyFill="1" applyBorder="1" applyAlignment="1" applyProtection="1">
      <alignment horizontal="center" vertical="center"/>
      <protection locked="0"/>
    </xf>
    <xf numFmtId="0" fontId="10" fillId="2" borderId="13" xfId="3" applyFont="1" applyFill="1" applyBorder="1" applyAlignment="1">
      <alignment horizontal="center"/>
    </xf>
    <xf numFmtId="0" fontId="12" fillId="3" borderId="21" xfId="3" applyFont="1" applyFill="1" applyBorder="1" applyAlignment="1" applyProtection="1">
      <alignment horizontal="center"/>
      <protection locked="0"/>
    </xf>
    <xf numFmtId="166" fontId="10" fillId="2" borderId="21" xfId="3" applyNumberFormat="1" applyFont="1" applyFill="1" applyBorder="1" applyAlignment="1">
      <alignment horizontal="center"/>
    </xf>
    <xf numFmtId="173" fontId="10" fillId="2" borderId="13" xfId="3" applyNumberFormat="1" applyFont="1" applyFill="1" applyBorder="1" applyAlignment="1">
      <alignment horizontal="center" vertical="center"/>
    </xf>
    <xf numFmtId="0" fontId="11" fillId="2" borderId="0" xfId="3" applyFont="1" applyFill="1" applyAlignment="1">
      <alignment horizontal="center" vertical="center"/>
    </xf>
    <xf numFmtId="2" fontId="12" fillId="3" borderId="14" xfId="3" applyNumberFormat="1" applyFont="1" applyFill="1" applyBorder="1" applyAlignment="1" applyProtection="1">
      <alignment horizontal="center" vertical="center"/>
      <protection locked="0"/>
    </xf>
    <xf numFmtId="0" fontId="10" fillId="2" borderId="14" xfId="3" applyFont="1" applyFill="1" applyBorder="1" applyAlignment="1">
      <alignment horizontal="center"/>
    </xf>
    <xf numFmtId="166" fontId="10" fillId="2" borderId="23" xfId="3" applyNumberFormat="1" applyFont="1" applyFill="1" applyBorder="1" applyAlignment="1">
      <alignment horizontal="center"/>
    </xf>
    <xf numFmtId="173" fontId="10" fillId="2" borderId="14" xfId="3" applyNumberFormat="1" applyFont="1" applyFill="1" applyBorder="1" applyAlignment="1">
      <alignment horizontal="center" vertical="center"/>
    </xf>
    <xf numFmtId="1" fontId="12" fillId="3" borderId="23" xfId="3" applyNumberFormat="1" applyFont="1" applyFill="1" applyBorder="1" applyAlignment="1" applyProtection="1">
      <alignment horizontal="center"/>
      <protection locked="0"/>
    </xf>
    <xf numFmtId="0" fontId="11" fillId="2" borderId="9" xfId="3" applyFont="1" applyFill="1" applyBorder="1" applyAlignment="1">
      <alignment horizontal="center" vertical="center"/>
    </xf>
    <xf numFmtId="2" fontId="12" fillId="3" borderId="15" xfId="3" applyNumberFormat="1" applyFont="1" applyFill="1" applyBorder="1" applyAlignment="1" applyProtection="1">
      <alignment horizontal="center" vertical="center"/>
      <protection locked="0"/>
    </xf>
    <xf numFmtId="0" fontId="10" fillId="2" borderId="15" xfId="3" applyFont="1" applyFill="1" applyBorder="1" applyAlignment="1">
      <alignment horizontal="center"/>
    </xf>
    <xf numFmtId="0" fontId="12" fillId="3" borderId="43" xfId="3" applyFont="1" applyFill="1" applyBorder="1" applyAlignment="1" applyProtection="1">
      <alignment horizontal="center"/>
      <protection locked="0"/>
    </xf>
    <xf numFmtId="166" fontId="10" fillId="2" borderId="43" xfId="3" applyNumberFormat="1" applyFont="1" applyFill="1" applyBorder="1" applyAlignment="1">
      <alignment horizontal="center"/>
    </xf>
    <xf numFmtId="173" fontId="10" fillId="2" borderId="15" xfId="3" applyNumberFormat="1" applyFont="1" applyFill="1" applyBorder="1" applyAlignment="1">
      <alignment horizontal="center" vertical="center"/>
    </xf>
    <xf numFmtId="0" fontId="13" fillId="2" borderId="24" xfId="3" applyFont="1" applyFill="1" applyBorder="1" applyAlignment="1">
      <alignment horizontal="center"/>
    </xf>
    <xf numFmtId="2" fontId="13" fillId="2" borderId="44" xfId="3" applyNumberFormat="1" applyFont="1" applyFill="1" applyBorder="1" applyAlignment="1">
      <alignment horizontal="center"/>
    </xf>
    <xf numFmtId="0" fontId="18" fillId="2" borderId="21" xfId="3" applyFont="1" applyFill="1" applyBorder="1" applyAlignment="1">
      <alignment horizontal="center" vertical="center" wrapText="1"/>
    </xf>
    <xf numFmtId="0" fontId="18" fillId="2" borderId="22" xfId="3" applyFont="1" applyFill="1" applyBorder="1" applyAlignment="1">
      <alignment horizontal="center" vertical="center" wrapText="1"/>
    </xf>
    <xf numFmtId="0" fontId="18" fillId="2" borderId="43" xfId="3" applyFont="1" applyFill="1" applyBorder="1" applyAlignment="1">
      <alignment horizontal="center" vertical="center" wrapText="1"/>
    </xf>
    <xf numFmtId="0" fontId="18" fillId="2" borderId="44" xfId="3" applyFont="1" applyFill="1" applyBorder="1" applyAlignment="1">
      <alignment horizontal="center" vertical="center" wrapText="1"/>
    </xf>
    <xf numFmtId="0" fontId="11" fillId="2" borderId="43" xfId="3" applyFont="1" applyFill="1" applyBorder="1" applyAlignment="1">
      <alignment horizontal="center" vertical="center"/>
    </xf>
    <xf numFmtId="0" fontId="10" fillId="2" borderId="45" xfId="3" applyFont="1" applyFill="1" applyBorder="1" applyAlignment="1">
      <alignment horizontal="right"/>
    </xf>
    <xf numFmtId="2" fontId="12" fillId="7" borderId="33" xfId="3" applyNumberFormat="1" applyFont="1" applyFill="1" applyBorder="1" applyAlignment="1">
      <alignment horizontal="center"/>
    </xf>
    <xf numFmtId="173" fontId="12" fillId="7" borderId="33" xfId="3" applyNumberFormat="1" applyFont="1" applyFill="1" applyBorder="1" applyAlignment="1">
      <alignment horizontal="center"/>
    </xf>
    <xf numFmtId="0" fontId="10" fillId="2" borderId="41" xfId="3" applyFont="1" applyFill="1" applyBorder="1" applyAlignment="1">
      <alignment horizontal="right"/>
    </xf>
    <xf numFmtId="10" fontId="12" fillId="6" borderId="54" xfId="3" applyNumberFormat="1" applyFont="1" applyFill="1" applyBorder="1" applyAlignment="1">
      <alignment horizontal="center"/>
    </xf>
    <xf numFmtId="0" fontId="10" fillId="2" borderId="17" xfId="3" applyFont="1" applyFill="1" applyBorder="1" applyAlignment="1">
      <alignment horizontal="right"/>
    </xf>
    <xf numFmtId="0" fontId="12" fillId="7" borderId="46" xfId="3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174" fontId="12" fillId="2" borderId="0" xfId="3" applyNumberFormat="1" applyFont="1" applyFill="1" applyAlignment="1">
      <alignment horizontal="center"/>
    </xf>
    <xf numFmtId="0" fontId="12" fillId="3" borderId="0" xfId="3" applyFont="1" applyFill="1" applyAlignment="1" applyProtection="1">
      <alignment horizontal="left"/>
      <protection locked="0"/>
    </xf>
    <xf numFmtId="0" fontId="11" fillId="2" borderId="47" xfId="3" applyFont="1" applyFill="1" applyBorder="1" applyAlignment="1">
      <alignment horizontal="center"/>
    </xf>
    <xf numFmtId="0" fontId="11" fillId="2" borderId="40" xfId="3" applyFont="1" applyFill="1" applyBorder="1" applyAlignment="1">
      <alignment horizontal="center"/>
    </xf>
    <xf numFmtId="0" fontId="11" fillId="2" borderId="10" xfId="3" applyFont="1" applyFill="1" applyBorder="1" applyAlignment="1">
      <alignment horizontal="center"/>
    </xf>
    <xf numFmtId="0" fontId="11" fillId="2" borderId="30" xfId="3" applyFont="1" applyFill="1" applyBorder="1" applyAlignment="1">
      <alignment horizontal="center"/>
    </xf>
    <xf numFmtId="0" fontId="10" fillId="2" borderId="48" xfId="3" applyFont="1" applyFill="1" applyBorder="1" applyAlignment="1">
      <alignment horizontal="center"/>
    </xf>
    <xf numFmtId="0" fontId="10" fillId="2" borderId="7" xfId="3" applyFont="1" applyFill="1" applyBorder="1" applyAlignment="1">
      <alignment horizontal="center"/>
    </xf>
    <xf numFmtId="171" fontId="12" fillId="3" borderId="34" xfId="3" applyNumberFormat="1" applyFont="1" applyFill="1" applyBorder="1" applyAlignment="1" applyProtection="1">
      <alignment horizontal="center"/>
      <protection locked="0"/>
    </xf>
    <xf numFmtId="1" fontId="11" fillId="6" borderId="49" xfId="3" applyNumberFormat="1" applyFont="1" applyFill="1" applyBorder="1" applyAlignment="1">
      <alignment horizontal="center"/>
    </xf>
    <xf numFmtId="1" fontId="11" fillId="6" borderId="50" xfId="3" applyNumberFormat="1" applyFont="1" applyFill="1" applyBorder="1" applyAlignment="1">
      <alignment horizontal="center"/>
    </xf>
    <xf numFmtId="171" fontId="11" fillId="6" borderId="15" xfId="3" applyNumberFormat="1" applyFont="1" applyFill="1" applyBorder="1" applyAlignment="1">
      <alignment horizontal="center"/>
    </xf>
    <xf numFmtId="0" fontId="10" fillId="2" borderId="51" xfId="3" applyFont="1" applyFill="1" applyBorder="1" applyAlignment="1">
      <alignment horizontal="right"/>
    </xf>
    <xf numFmtId="0" fontId="12" fillId="3" borderId="52" xfId="3" applyFont="1" applyFill="1" applyBorder="1" applyAlignment="1" applyProtection="1">
      <alignment horizontal="center"/>
      <protection locked="0"/>
    </xf>
    <xf numFmtId="0" fontId="10" fillId="2" borderId="25" xfId="3" applyFont="1" applyFill="1" applyBorder="1" applyAlignment="1">
      <alignment horizontal="right"/>
    </xf>
    <xf numFmtId="2" fontId="10" fillId="6" borderId="27" xfId="3" applyNumberFormat="1" applyFont="1" applyFill="1" applyBorder="1" applyAlignment="1">
      <alignment horizontal="center"/>
    </xf>
    <xf numFmtId="2" fontId="10" fillId="7" borderId="27" xfId="3" applyNumberFormat="1" applyFont="1" applyFill="1" applyBorder="1" applyAlignment="1">
      <alignment horizontal="center"/>
    </xf>
    <xf numFmtId="0" fontId="18" fillId="2" borderId="10" xfId="3" applyFont="1" applyFill="1" applyBorder="1" applyAlignment="1">
      <alignment horizontal="left" vertical="center" wrapText="1"/>
    </xf>
    <xf numFmtId="166" fontId="10" fillId="6" borderId="27" xfId="3" applyNumberFormat="1" applyFont="1" applyFill="1" applyBorder="1" applyAlignment="1">
      <alignment horizontal="center"/>
    </xf>
    <xf numFmtId="0" fontId="18" fillId="2" borderId="9" xfId="3" applyFont="1" applyFill="1" applyBorder="1" applyAlignment="1">
      <alignment horizontal="left" vertical="center" wrapText="1"/>
    </xf>
    <xf numFmtId="166" fontId="10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0" fillId="2" borderId="53" xfId="3" applyFont="1" applyFill="1" applyBorder="1" applyAlignment="1">
      <alignment horizontal="right"/>
    </xf>
    <xf numFmtId="2" fontId="10" fillId="7" borderId="30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 wrapText="1"/>
    </xf>
    <xf numFmtId="0" fontId="10" fillId="2" borderId="16" xfId="3" applyFont="1" applyFill="1" applyBorder="1" applyAlignment="1">
      <alignment horizontal="right"/>
    </xf>
    <xf numFmtId="171" fontId="11" fillId="7" borderId="16" xfId="3" applyNumberFormat="1" applyFont="1" applyFill="1" applyBorder="1" applyAlignment="1">
      <alignment horizontal="center"/>
    </xf>
    <xf numFmtId="10" fontId="10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7" borderId="17" xfId="3" applyFont="1" applyFill="1" applyBorder="1" applyAlignment="1">
      <alignment horizontal="center"/>
    </xf>
    <xf numFmtId="0" fontId="11" fillId="2" borderId="22" xfId="3" applyFont="1" applyFill="1" applyBorder="1" applyAlignment="1">
      <alignment horizontal="center" wrapText="1"/>
    </xf>
    <xf numFmtId="1" fontId="12" fillId="3" borderId="13" xfId="3" applyNumberFormat="1" applyFont="1" applyFill="1" applyBorder="1" applyAlignment="1" applyProtection="1">
      <alignment horizontal="center"/>
      <protection locked="0"/>
    </xf>
    <xf numFmtId="166" fontId="10" fillId="2" borderId="13" xfId="3" applyNumberFormat="1" applyFont="1" applyFill="1" applyBorder="1" applyAlignment="1">
      <alignment horizontal="center"/>
    </xf>
    <xf numFmtId="173" fontId="10" fillId="2" borderId="22" xfId="3" applyNumberFormat="1" applyFont="1" applyFill="1" applyBorder="1" applyAlignment="1">
      <alignment horizontal="center"/>
    </xf>
    <xf numFmtId="1" fontId="12" fillId="3" borderId="14" xfId="3" applyNumberFormat="1" applyFont="1" applyFill="1" applyBorder="1" applyAlignment="1" applyProtection="1">
      <alignment horizontal="center"/>
      <protection locked="0"/>
    </xf>
    <xf numFmtId="166" fontId="10" fillId="2" borderId="14" xfId="3" applyNumberFormat="1" applyFont="1" applyFill="1" applyBorder="1" applyAlignment="1">
      <alignment horizontal="center"/>
    </xf>
    <xf numFmtId="173" fontId="10" fillId="2" borderId="24" xfId="3" applyNumberFormat="1" applyFont="1" applyFill="1" applyBorder="1" applyAlignment="1">
      <alignment horizontal="center"/>
    </xf>
    <xf numFmtId="1" fontId="12" fillId="3" borderId="15" xfId="3" applyNumberFormat="1" applyFont="1" applyFill="1" applyBorder="1" applyAlignment="1" applyProtection="1">
      <alignment horizontal="center"/>
      <protection locked="0"/>
    </xf>
    <xf numFmtId="166" fontId="10" fillId="2" borderId="15" xfId="3" applyNumberFormat="1" applyFont="1" applyFill="1" applyBorder="1" applyAlignment="1">
      <alignment horizontal="center"/>
    </xf>
    <xf numFmtId="173" fontId="10" fillId="2" borderId="44" xfId="3" applyNumberFormat="1" applyFont="1" applyFill="1" applyBorder="1" applyAlignment="1">
      <alignment horizontal="center"/>
    </xf>
    <xf numFmtId="0" fontId="10" fillId="2" borderId="23" xfId="3" applyFont="1" applyFill="1" applyBorder="1" applyAlignment="1">
      <alignment horizontal="center"/>
    </xf>
    <xf numFmtId="171" fontId="10" fillId="2" borderId="16" xfId="3" applyNumberFormat="1" applyFont="1" applyFill="1" applyBorder="1" applyAlignment="1">
      <alignment horizontal="right"/>
    </xf>
    <xf numFmtId="2" fontId="12" fillId="7" borderId="55" xfId="3" applyNumberFormat="1" applyFont="1" applyFill="1" applyBorder="1" applyAlignment="1">
      <alignment horizontal="center"/>
    </xf>
    <xf numFmtId="174" fontId="12" fillId="7" borderId="52" xfId="3" applyNumberFormat="1" applyFont="1" applyFill="1" applyBorder="1" applyAlignment="1">
      <alignment horizontal="center"/>
    </xf>
    <xf numFmtId="0" fontId="10" fillId="2" borderId="23" xfId="3" applyFont="1" applyFill="1" applyBorder="1"/>
    <xf numFmtId="0" fontId="10" fillId="2" borderId="14" xfId="3" applyFont="1" applyFill="1" applyBorder="1" applyAlignment="1">
      <alignment horizontal="right"/>
    </xf>
    <xf numFmtId="10" fontId="12" fillId="6" borderId="27" xfId="3" applyNumberFormat="1" applyFont="1" applyFill="1" applyBorder="1" applyAlignment="1">
      <alignment horizontal="center"/>
    </xf>
    <xf numFmtId="0" fontId="10" fillId="2" borderId="43" xfId="3" applyFont="1" applyFill="1" applyBorder="1"/>
    <xf numFmtId="0" fontId="12" fillId="7" borderId="28" xfId="3" applyFont="1" applyFill="1" applyBorder="1" applyAlignment="1">
      <alignment horizontal="center"/>
    </xf>
    <xf numFmtId="0" fontId="12" fillId="7" borderId="56" xfId="3" applyFont="1" applyFill="1" applyBorder="1" applyAlignment="1">
      <alignment horizontal="center"/>
    </xf>
    <xf numFmtId="0" fontId="10" fillId="2" borderId="13" xfId="3" applyFont="1" applyFill="1" applyBorder="1"/>
    <xf numFmtId="0" fontId="11" fillId="2" borderId="47" xfId="3" applyFont="1" applyFill="1" applyBorder="1" applyAlignment="1">
      <alignment horizontal="center" vertical="center"/>
    </xf>
    <xf numFmtId="0" fontId="11" fillId="2" borderId="55" xfId="3" applyFont="1" applyFill="1" applyBorder="1" applyAlignment="1">
      <alignment horizontal="center" vertical="center"/>
    </xf>
    <xf numFmtId="0" fontId="18" fillId="2" borderId="0" xfId="3" applyFont="1" applyFill="1" applyAlignment="1">
      <alignment horizontal="right" vertical="center" wrapText="1"/>
    </xf>
    <xf numFmtId="2" fontId="12" fillId="6" borderId="54" xfId="3" applyNumberFormat="1" applyFont="1" applyFill="1" applyBorder="1" applyAlignment="1">
      <alignment horizontal="center"/>
    </xf>
    <xf numFmtId="174" fontId="12" fillId="6" borderId="54" xfId="3" applyNumberFormat="1" applyFont="1" applyFill="1" applyBorder="1" applyAlignment="1">
      <alignment horizontal="center"/>
    </xf>
    <xf numFmtId="2" fontId="12" fillId="7" borderId="46" xfId="3" applyNumberFormat="1" applyFont="1" applyFill="1" applyBorder="1" applyAlignment="1">
      <alignment horizontal="center"/>
    </xf>
    <xf numFmtId="174" fontId="12" fillId="7" borderId="46" xfId="3" applyNumberFormat="1" applyFont="1" applyFill="1" applyBorder="1" applyAlignment="1">
      <alignment horizontal="center"/>
    </xf>
    <xf numFmtId="175" fontId="19" fillId="2" borderId="0" xfId="3" applyNumberFormat="1" applyFont="1" applyFill="1" applyAlignment="1">
      <alignment horizontal="center"/>
    </xf>
    <xf numFmtId="165" fontId="12" fillId="2" borderId="0" xfId="3" applyNumberFormat="1" applyFont="1" applyFill="1" applyAlignment="1">
      <alignment horizontal="center"/>
    </xf>
    <xf numFmtId="0" fontId="18" fillId="2" borderId="9" xfId="3" applyFont="1" applyFill="1" applyBorder="1" applyAlignment="1">
      <alignment horizontal="left" vertical="center" wrapText="1"/>
    </xf>
    <xf numFmtId="0" fontId="10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0" fillId="2" borderId="10" xfId="3" applyFont="1" applyFill="1" applyBorder="1" applyAlignment="1">
      <alignment horizontal="center"/>
    </xf>
    <xf numFmtId="0" fontId="10" fillId="2" borderId="7" xfId="3" applyFont="1" applyFill="1" applyBorder="1"/>
    <xf numFmtId="0" fontId="11" fillId="2" borderId="11" xfId="3" applyFont="1" applyFill="1" applyBorder="1"/>
    <xf numFmtId="0" fontId="10" fillId="2" borderId="11" xfId="3" applyFont="1" applyFill="1" applyBorder="1"/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80543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M SST"/>
      <sheetName val="SULFS SST"/>
      <sheetName val="Sulfamethoxazole"/>
      <sheetName val="Trimethoprim"/>
      <sheetName val="Uniformity"/>
    </sheetNames>
    <sheetDataSet>
      <sheetData sheetId="0"/>
      <sheetData sheetId="1"/>
      <sheetData sheetId="2" refreshError="1"/>
      <sheetData sheetId="3" refreshError="1"/>
      <sheetData sheetId="4">
        <row r="46">
          <cell r="C46">
            <v>1053.106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22" zoomScale="70" zoomScaleNormal="70" workbookViewId="0">
      <selection activeCell="B19" sqref="B19"/>
    </sheetView>
  </sheetViews>
  <sheetFormatPr defaultRowHeight="13.5" x14ac:dyDescent="0.25"/>
  <cols>
    <col min="1" max="1" width="27.5703125" style="57" customWidth="1"/>
    <col min="2" max="2" width="20.42578125" style="57" customWidth="1"/>
    <col min="3" max="3" width="31.85546875" style="57" customWidth="1"/>
    <col min="4" max="4" width="25.85546875" style="57" customWidth="1"/>
    <col min="5" max="5" width="25.7109375" style="57" customWidth="1"/>
    <col min="6" max="6" width="23.14062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107"/>
  </cols>
  <sheetData>
    <row r="14" spans="1:6" ht="15" customHeight="1" x14ac:dyDescent="0.3">
      <c r="A14" s="56"/>
      <c r="C14" s="58"/>
      <c r="F14" s="58"/>
    </row>
    <row r="15" spans="1:6" ht="18.75" customHeight="1" x14ac:dyDescent="0.3">
      <c r="A15" s="59" t="s">
        <v>0</v>
      </c>
      <c r="B15" s="59"/>
      <c r="C15" s="59"/>
      <c r="D15" s="59"/>
      <c r="E15" s="59"/>
    </row>
    <row r="16" spans="1:6" ht="16.5" customHeight="1" x14ac:dyDescent="0.3">
      <c r="A16" s="60" t="s">
        <v>1</v>
      </c>
      <c r="B16" s="61" t="s">
        <v>2</v>
      </c>
    </row>
    <row r="17" spans="1:6" ht="16.5" customHeight="1" x14ac:dyDescent="0.3">
      <c r="A17" s="62" t="s">
        <v>3</v>
      </c>
      <c r="B17" s="62" t="s">
        <v>128</v>
      </c>
      <c r="C17" s="63"/>
      <c r="D17" s="64"/>
      <c r="E17" s="63"/>
    </row>
    <row r="18" spans="1:6" ht="16.5" customHeight="1" x14ac:dyDescent="0.3">
      <c r="A18" s="65" t="s">
        <v>4</v>
      </c>
      <c r="B18" s="66" t="s">
        <v>129</v>
      </c>
      <c r="C18" s="63"/>
      <c r="D18" s="63"/>
      <c r="E18" s="63"/>
    </row>
    <row r="19" spans="1:6" ht="16.5" customHeight="1" x14ac:dyDescent="0.3">
      <c r="A19" s="65" t="s">
        <v>6</v>
      </c>
      <c r="B19" s="66">
        <v>99.75</v>
      </c>
      <c r="C19" s="63"/>
      <c r="D19" s="63"/>
      <c r="E19" s="63"/>
    </row>
    <row r="20" spans="1:6" ht="16.5" customHeight="1" x14ac:dyDescent="0.3">
      <c r="A20" s="62" t="s">
        <v>8</v>
      </c>
      <c r="B20" s="66">
        <v>25.04</v>
      </c>
      <c r="C20" s="63"/>
      <c r="D20" s="63"/>
      <c r="E20" s="63"/>
    </row>
    <row r="21" spans="1:6" ht="16.5" customHeight="1" x14ac:dyDescent="0.3">
      <c r="A21" s="62" t="s">
        <v>10</v>
      </c>
      <c r="B21" s="67">
        <f>B20/25*4/100</f>
        <v>4.0064000000000002E-2</v>
      </c>
      <c r="C21" s="63"/>
      <c r="D21" s="63"/>
      <c r="E21" s="63"/>
    </row>
    <row r="22" spans="1:6" ht="15.75" customHeight="1" x14ac:dyDescent="0.25">
      <c r="A22" s="63"/>
      <c r="B22" s="63" t="s">
        <v>130</v>
      </c>
      <c r="C22" s="63"/>
      <c r="D22" s="63"/>
      <c r="E22" s="63"/>
    </row>
    <row r="23" spans="1:6" ht="16.5" customHeight="1" x14ac:dyDescent="0.3">
      <c r="A23" s="68" t="s">
        <v>13</v>
      </c>
      <c r="B23" s="69" t="s">
        <v>14</v>
      </c>
      <c r="C23" s="68" t="s">
        <v>15</v>
      </c>
      <c r="D23" s="68" t="s">
        <v>16</v>
      </c>
      <c r="E23" s="68" t="s">
        <v>17</v>
      </c>
      <c r="F23" s="70" t="s">
        <v>131</v>
      </c>
    </row>
    <row r="24" spans="1:6" ht="16.5" customHeight="1" x14ac:dyDescent="0.3">
      <c r="A24" s="71">
        <v>1</v>
      </c>
      <c r="B24" s="72">
        <v>3512570</v>
      </c>
      <c r="C24" s="72">
        <v>8626.5</v>
      </c>
      <c r="D24" s="73">
        <v>1.1000000000000001</v>
      </c>
      <c r="E24" s="74">
        <v>5.4</v>
      </c>
      <c r="F24" s="75">
        <v>1</v>
      </c>
    </row>
    <row r="25" spans="1:6" ht="16.5" customHeight="1" x14ac:dyDescent="0.3">
      <c r="A25" s="71">
        <v>2</v>
      </c>
      <c r="B25" s="72">
        <v>3524571</v>
      </c>
      <c r="C25" s="72">
        <v>8600</v>
      </c>
      <c r="D25" s="73">
        <v>1.1000000000000001</v>
      </c>
      <c r="E25" s="73">
        <v>5.4</v>
      </c>
      <c r="F25" s="75">
        <v>1</v>
      </c>
    </row>
    <row r="26" spans="1:6" ht="16.5" customHeight="1" x14ac:dyDescent="0.3">
      <c r="A26" s="71">
        <v>3</v>
      </c>
      <c r="B26" s="72">
        <v>3507041</v>
      </c>
      <c r="C26" s="72">
        <v>8618.1</v>
      </c>
      <c r="D26" s="73">
        <v>1.1000000000000001</v>
      </c>
      <c r="E26" s="73">
        <v>5.4</v>
      </c>
      <c r="F26" s="75">
        <v>1</v>
      </c>
    </row>
    <row r="27" spans="1:6" ht="16.5" customHeight="1" x14ac:dyDescent="0.3">
      <c r="A27" s="71">
        <v>4</v>
      </c>
      <c r="B27" s="72">
        <v>3511646</v>
      </c>
      <c r="C27" s="72">
        <v>8587.7999999999993</v>
      </c>
      <c r="D27" s="73">
        <v>1.1000000000000001</v>
      </c>
      <c r="E27" s="73">
        <v>5.4</v>
      </c>
      <c r="F27" s="75">
        <v>1</v>
      </c>
    </row>
    <row r="28" spans="1:6" ht="16.5" customHeight="1" x14ac:dyDescent="0.3">
      <c r="A28" s="71">
        <v>5</v>
      </c>
      <c r="B28" s="72">
        <v>3507075</v>
      </c>
      <c r="C28" s="72">
        <v>8516.9</v>
      </c>
      <c r="D28" s="73">
        <v>1.1000000000000001</v>
      </c>
      <c r="E28" s="73">
        <v>5.4</v>
      </c>
      <c r="F28" s="75">
        <v>1</v>
      </c>
    </row>
    <row r="29" spans="1:6" ht="16.5" customHeight="1" thickBot="1" x14ac:dyDescent="0.35">
      <c r="A29" s="71">
        <v>6</v>
      </c>
      <c r="B29" s="76">
        <v>3508370</v>
      </c>
      <c r="C29" s="76">
        <v>8507.4</v>
      </c>
      <c r="D29" s="77">
        <v>1.1000000000000001</v>
      </c>
      <c r="E29" s="73">
        <v>5.4</v>
      </c>
      <c r="F29" s="75">
        <v>1</v>
      </c>
    </row>
    <row r="30" spans="1:6" ht="16.5" customHeight="1" thickBot="1" x14ac:dyDescent="0.35">
      <c r="A30" s="78" t="s">
        <v>18</v>
      </c>
      <c r="B30" s="79">
        <f>AVERAGE(B24:B29)</f>
        <v>3511878.8333333335</v>
      </c>
      <c r="C30" s="80">
        <f>AVERAGE(C24:C29)</f>
        <v>8576.1166666666668</v>
      </c>
      <c r="D30" s="81">
        <f>AVERAGE(D24:D29)</f>
        <v>1.0999999999999999</v>
      </c>
      <c r="E30" s="82">
        <f>AVERAGE(E24:E29)</f>
        <v>5.3999999999999995</v>
      </c>
      <c r="F30" s="83">
        <f>AVERAGE(F24:F29)</f>
        <v>1</v>
      </c>
    </row>
    <row r="31" spans="1:6" ht="16.5" customHeight="1" x14ac:dyDescent="0.3">
      <c r="A31" s="84" t="s">
        <v>19</v>
      </c>
      <c r="B31" s="85">
        <f>(STDEV(B24:B29)/B30)</f>
        <v>1.8905901984051577E-3</v>
      </c>
      <c r="C31" s="86"/>
      <c r="D31" s="86"/>
      <c r="E31" s="87"/>
    </row>
    <row r="32" spans="1:6" s="57" customFormat="1" ht="16.5" customHeight="1" x14ac:dyDescent="0.3">
      <c r="A32" s="88" t="s">
        <v>20</v>
      </c>
      <c r="B32" s="89">
        <f>COUNT(B24:B29)</f>
        <v>6</v>
      </c>
      <c r="C32" s="90"/>
      <c r="D32" s="91"/>
      <c r="E32" s="92"/>
    </row>
    <row r="33" spans="1:6" s="57" customFormat="1" ht="15.75" customHeight="1" x14ac:dyDescent="0.25">
      <c r="A33" s="63"/>
      <c r="B33" s="63"/>
      <c r="C33" s="63"/>
      <c r="D33" s="63"/>
      <c r="E33" s="63"/>
    </row>
    <row r="34" spans="1:6" s="57" customFormat="1" ht="16.5" customHeight="1" x14ac:dyDescent="0.3">
      <c r="A34" s="65" t="s">
        <v>21</v>
      </c>
      <c r="B34" s="93" t="s">
        <v>132</v>
      </c>
      <c r="C34" s="94"/>
      <c r="D34" s="94"/>
      <c r="E34" s="94"/>
    </row>
    <row r="35" spans="1:6" ht="16.5" customHeight="1" x14ac:dyDescent="0.3">
      <c r="A35" s="65"/>
      <c r="B35" s="93" t="s">
        <v>133</v>
      </c>
      <c r="C35" s="94"/>
      <c r="D35" s="94"/>
      <c r="E35" s="94"/>
    </row>
    <row r="36" spans="1:6" ht="16.5" customHeight="1" x14ac:dyDescent="0.3">
      <c r="A36" s="65"/>
      <c r="B36" s="93" t="s">
        <v>134</v>
      </c>
      <c r="C36" s="94"/>
      <c r="D36" s="94"/>
      <c r="E36" s="94"/>
    </row>
    <row r="37" spans="1:6" ht="15.75" customHeight="1" x14ac:dyDescent="0.25">
      <c r="A37" s="63"/>
      <c r="B37" s="63" t="s">
        <v>135</v>
      </c>
      <c r="C37" s="63"/>
      <c r="D37" s="63"/>
      <c r="E37" s="63"/>
    </row>
    <row r="38" spans="1:6" ht="16.5" customHeight="1" x14ac:dyDescent="0.3">
      <c r="A38" s="60" t="s">
        <v>1</v>
      </c>
      <c r="B38" s="61" t="s">
        <v>22</v>
      </c>
    </row>
    <row r="39" spans="1:6" ht="16.5" customHeight="1" x14ac:dyDescent="0.3">
      <c r="A39" s="65" t="s">
        <v>4</v>
      </c>
      <c r="B39" s="62" t="s">
        <v>129</v>
      </c>
      <c r="C39" s="63"/>
      <c r="D39" s="63"/>
      <c r="E39" s="63"/>
    </row>
    <row r="40" spans="1:6" ht="16.5" customHeight="1" x14ac:dyDescent="0.3">
      <c r="A40" s="65" t="s">
        <v>6</v>
      </c>
      <c r="B40" s="66">
        <v>99.75</v>
      </c>
      <c r="C40" s="63"/>
      <c r="D40" s="63"/>
      <c r="E40" s="63"/>
    </row>
    <row r="41" spans="1:6" ht="16.5" customHeight="1" x14ac:dyDescent="0.3">
      <c r="A41" s="62" t="s">
        <v>8</v>
      </c>
      <c r="B41" s="66">
        <v>25.04</v>
      </c>
      <c r="C41" s="63"/>
      <c r="D41" s="63"/>
      <c r="E41" s="63"/>
    </row>
    <row r="42" spans="1:6" ht="16.5" customHeight="1" x14ac:dyDescent="0.3">
      <c r="A42" s="62" t="s">
        <v>10</v>
      </c>
      <c r="B42" s="67">
        <v>4.0064000000000002E-2</v>
      </c>
      <c r="C42" s="63"/>
      <c r="D42" s="63"/>
      <c r="E42" s="63"/>
    </row>
    <row r="43" spans="1:6" ht="15.75" customHeight="1" thickBot="1" x14ac:dyDescent="0.3">
      <c r="A43" s="63"/>
      <c r="B43" s="63"/>
      <c r="C43" s="63"/>
      <c r="D43" s="63"/>
      <c r="E43" s="63"/>
    </row>
    <row r="44" spans="1:6" ht="16.5" customHeight="1" thickBot="1" x14ac:dyDescent="0.35">
      <c r="A44" s="68" t="s">
        <v>13</v>
      </c>
      <c r="B44" s="69" t="s">
        <v>14</v>
      </c>
      <c r="C44" s="68" t="s">
        <v>15</v>
      </c>
      <c r="D44" s="68" t="s">
        <v>16</v>
      </c>
      <c r="E44" s="69" t="s">
        <v>17</v>
      </c>
      <c r="F44" s="95" t="s">
        <v>131</v>
      </c>
    </row>
    <row r="45" spans="1:6" ht="16.5" customHeight="1" x14ac:dyDescent="0.3">
      <c r="A45" s="71">
        <v>1</v>
      </c>
      <c r="B45" s="72">
        <v>3512570</v>
      </c>
      <c r="C45" s="72">
        <v>8626.5</v>
      </c>
      <c r="D45" s="73">
        <v>1.1000000000000001</v>
      </c>
      <c r="E45" s="96">
        <v>5.4</v>
      </c>
      <c r="F45" s="97">
        <v>1</v>
      </c>
    </row>
    <row r="46" spans="1:6" ht="16.5" customHeight="1" x14ac:dyDescent="0.3">
      <c r="A46" s="71">
        <v>2</v>
      </c>
      <c r="B46" s="72">
        <v>3524571</v>
      </c>
      <c r="C46" s="72">
        <v>8600</v>
      </c>
      <c r="D46" s="73">
        <v>1.1000000000000001</v>
      </c>
      <c r="E46" s="98">
        <v>5.4</v>
      </c>
      <c r="F46" s="99">
        <v>1</v>
      </c>
    </row>
    <row r="47" spans="1:6" ht="16.5" customHeight="1" x14ac:dyDescent="0.3">
      <c r="A47" s="71">
        <v>3</v>
      </c>
      <c r="B47" s="72">
        <v>3507041</v>
      </c>
      <c r="C47" s="72">
        <v>8618.1</v>
      </c>
      <c r="D47" s="73">
        <v>1.1000000000000001</v>
      </c>
      <c r="E47" s="98">
        <v>5.4</v>
      </c>
      <c r="F47" s="99">
        <v>1</v>
      </c>
    </row>
    <row r="48" spans="1:6" ht="16.5" customHeight="1" x14ac:dyDescent="0.3">
      <c r="A48" s="71">
        <v>4</v>
      </c>
      <c r="B48" s="72">
        <v>3511646</v>
      </c>
      <c r="C48" s="72">
        <v>8587.7999999999993</v>
      </c>
      <c r="D48" s="73">
        <v>1.1000000000000001</v>
      </c>
      <c r="E48" s="98">
        <v>5.4</v>
      </c>
      <c r="F48" s="99">
        <v>1</v>
      </c>
    </row>
    <row r="49" spans="1:7" ht="16.5" customHeight="1" x14ac:dyDescent="0.3">
      <c r="A49" s="71">
        <v>5</v>
      </c>
      <c r="B49" s="72">
        <v>3507075</v>
      </c>
      <c r="C49" s="72">
        <v>8516.9</v>
      </c>
      <c r="D49" s="73">
        <v>1.1000000000000001</v>
      </c>
      <c r="E49" s="98">
        <v>5.4</v>
      </c>
      <c r="F49" s="99">
        <v>1</v>
      </c>
    </row>
    <row r="50" spans="1:7" ht="16.5" customHeight="1" thickBot="1" x14ac:dyDescent="0.35">
      <c r="A50" s="71">
        <v>6</v>
      </c>
      <c r="B50" s="76">
        <v>3508370</v>
      </c>
      <c r="C50" s="76">
        <v>8507.4</v>
      </c>
      <c r="D50" s="77">
        <v>1.1000000000000001</v>
      </c>
      <c r="E50" s="100">
        <v>5.4</v>
      </c>
      <c r="F50" s="101">
        <v>1</v>
      </c>
    </row>
    <row r="51" spans="1:7" ht="16.5" customHeight="1" x14ac:dyDescent="0.3">
      <c r="A51" s="78" t="s">
        <v>18</v>
      </c>
      <c r="B51" s="79">
        <v>2756934.5</v>
      </c>
      <c r="C51" s="80">
        <v>6177.6166666666659</v>
      </c>
      <c r="D51" s="102">
        <v>1.2</v>
      </c>
      <c r="E51" s="102">
        <v>5.3</v>
      </c>
      <c r="F51" s="103">
        <v>1</v>
      </c>
    </row>
    <row r="52" spans="1:7" ht="16.5" customHeight="1" x14ac:dyDescent="0.3">
      <c r="A52" s="84" t="s">
        <v>19</v>
      </c>
      <c r="B52" s="85">
        <v>3.9464046969888205E-3</v>
      </c>
      <c r="C52" s="86"/>
      <c r="D52" s="86"/>
      <c r="E52" s="87"/>
    </row>
    <row r="53" spans="1:7" s="57" customFormat="1" ht="16.5" customHeight="1" x14ac:dyDescent="0.3">
      <c r="A53" s="88" t="s">
        <v>20</v>
      </c>
      <c r="B53" s="89">
        <v>6</v>
      </c>
      <c r="C53" s="90"/>
      <c r="D53" s="91"/>
      <c r="E53" s="92"/>
    </row>
    <row r="54" spans="1:7" s="57" customFormat="1" ht="15.75" customHeight="1" x14ac:dyDescent="0.25">
      <c r="A54" s="63"/>
      <c r="B54" s="63"/>
      <c r="C54" s="63"/>
      <c r="D54" s="63"/>
      <c r="E54" s="63"/>
    </row>
    <row r="55" spans="1:7" s="57" customFormat="1" ht="16.5" customHeight="1" x14ac:dyDescent="0.3">
      <c r="A55" s="65" t="s">
        <v>21</v>
      </c>
      <c r="B55" s="93" t="s">
        <v>132</v>
      </c>
      <c r="C55" s="94"/>
      <c r="D55" s="94"/>
      <c r="E55" s="94"/>
    </row>
    <row r="56" spans="1:7" ht="16.5" customHeight="1" x14ac:dyDescent="0.3">
      <c r="A56" s="65"/>
      <c r="B56" s="93" t="s">
        <v>133</v>
      </c>
      <c r="C56" s="94"/>
      <c r="D56" s="94"/>
      <c r="E56" s="94"/>
    </row>
    <row r="57" spans="1:7" ht="16.5" customHeight="1" x14ac:dyDescent="0.3">
      <c r="A57" s="65"/>
      <c r="B57" s="93" t="s">
        <v>134</v>
      </c>
      <c r="C57" s="94"/>
      <c r="D57" s="94"/>
      <c r="E57" s="94"/>
    </row>
    <row r="58" spans="1:7" ht="14.25" customHeight="1" thickBot="1" x14ac:dyDescent="0.3">
      <c r="A58" s="104"/>
      <c r="B58" s="105"/>
      <c r="D58" s="106"/>
      <c r="F58" s="107"/>
      <c r="G58" s="107"/>
    </row>
    <row r="59" spans="1:7" ht="15" customHeight="1" x14ac:dyDescent="0.3">
      <c r="B59" s="108" t="s">
        <v>23</v>
      </c>
      <c r="C59" s="108"/>
      <c r="E59" s="109" t="s">
        <v>24</v>
      </c>
      <c r="F59" s="110"/>
      <c r="G59" s="109" t="s">
        <v>25</v>
      </c>
    </row>
    <row r="60" spans="1:7" ht="15" customHeight="1" x14ac:dyDescent="0.3">
      <c r="A60" s="111" t="s">
        <v>26</v>
      </c>
      <c r="B60" s="112" t="s">
        <v>136</v>
      </c>
      <c r="C60" s="112"/>
      <c r="E60" s="113">
        <v>43410</v>
      </c>
      <c r="G60" s="112"/>
    </row>
    <row r="61" spans="1:7" ht="15" customHeight="1" x14ac:dyDescent="0.3">
      <c r="A61" s="111" t="s">
        <v>27</v>
      </c>
      <c r="B61" s="114"/>
      <c r="C61" s="114"/>
      <c r="E61" s="114"/>
      <c r="G61" s="1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abSelected="1" topLeftCell="A58" zoomScale="60" zoomScaleNormal="60" workbookViewId="0">
      <selection activeCell="B19" sqref="B19"/>
    </sheetView>
  </sheetViews>
  <sheetFormatPr defaultRowHeight="13.5" x14ac:dyDescent="0.25"/>
  <cols>
    <col min="1" max="1" width="27.5703125" style="57" customWidth="1"/>
    <col min="2" max="2" width="25.42578125" style="57" customWidth="1"/>
    <col min="3" max="3" width="31.85546875" style="57" customWidth="1"/>
    <col min="4" max="4" width="25.85546875" style="57" customWidth="1"/>
    <col min="5" max="5" width="29.7109375" style="57" customWidth="1"/>
    <col min="6" max="6" width="43.710937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107"/>
  </cols>
  <sheetData>
    <row r="14" spans="1:6" ht="15" customHeight="1" x14ac:dyDescent="0.3">
      <c r="A14" s="56"/>
      <c r="C14" s="58"/>
      <c r="F14" s="58"/>
    </row>
    <row r="15" spans="1:6" ht="18.75" customHeight="1" x14ac:dyDescent="0.3">
      <c r="A15" s="59" t="s">
        <v>0</v>
      </c>
      <c r="B15" s="59"/>
      <c r="C15" s="59"/>
      <c r="D15" s="59"/>
      <c r="E15" s="59"/>
    </row>
    <row r="16" spans="1:6" ht="16.5" customHeight="1" x14ac:dyDescent="0.3">
      <c r="A16" s="60" t="s">
        <v>1</v>
      </c>
      <c r="B16" s="61" t="s">
        <v>2</v>
      </c>
    </row>
    <row r="17" spans="1:7" ht="16.5" customHeight="1" x14ac:dyDescent="0.3">
      <c r="A17" s="62" t="s">
        <v>3</v>
      </c>
      <c r="B17" s="62" t="s">
        <v>128</v>
      </c>
      <c r="C17" s="63"/>
      <c r="D17" s="64"/>
      <c r="E17" s="63"/>
    </row>
    <row r="18" spans="1:7" ht="16.5" customHeight="1" x14ac:dyDescent="0.3">
      <c r="A18" s="65" t="s">
        <v>4</v>
      </c>
      <c r="B18" s="66" t="s">
        <v>137</v>
      </c>
      <c r="C18" s="63"/>
      <c r="D18" s="63"/>
      <c r="E18" s="63"/>
    </row>
    <row r="19" spans="1:7" ht="16.5" customHeight="1" x14ac:dyDescent="0.3">
      <c r="A19" s="65" t="s">
        <v>6</v>
      </c>
      <c r="B19" s="66">
        <v>99.02</v>
      </c>
      <c r="C19" s="63"/>
      <c r="D19" s="63"/>
      <c r="E19" s="63"/>
    </row>
    <row r="20" spans="1:7" ht="16.5" customHeight="1" x14ac:dyDescent="0.3">
      <c r="A20" s="62" t="s">
        <v>8</v>
      </c>
      <c r="B20" s="66">
        <v>17.09</v>
      </c>
      <c r="C20" s="63"/>
      <c r="D20" s="63"/>
      <c r="E20" s="63"/>
    </row>
    <row r="21" spans="1:7" ht="16.5" customHeight="1" x14ac:dyDescent="0.3">
      <c r="A21" s="62" t="s">
        <v>10</v>
      </c>
      <c r="B21" s="67">
        <f>B20/100</f>
        <v>0.1709</v>
      </c>
      <c r="C21" s="63"/>
      <c r="D21" s="63"/>
      <c r="E21" s="63"/>
    </row>
    <row r="22" spans="1:7" ht="15.75" customHeight="1" thickBot="1" x14ac:dyDescent="0.3">
      <c r="A22" s="63"/>
      <c r="B22" s="63" t="s">
        <v>138</v>
      </c>
      <c r="C22" s="63"/>
      <c r="D22" s="63"/>
      <c r="E22" s="63"/>
    </row>
    <row r="23" spans="1:7" ht="16.5" customHeight="1" x14ac:dyDescent="0.3">
      <c r="A23" s="68" t="s">
        <v>13</v>
      </c>
      <c r="B23" s="69" t="s">
        <v>14</v>
      </c>
      <c r="C23" s="68" t="s">
        <v>15</v>
      </c>
      <c r="D23" s="68" t="s">
        <v>16</v>
      </c>
      <c r="E23" s="69" t="s">
        <v>17</v>
      </c>
      <c r="F23" s="116" t="s">
        <v>139</v>
      </c>
      <c r="G23" s="117" t="s">
        <v>140</v>
      </c>
    </row>
    <row r="24" spans="1:7" ht="16.5" customHeight="1" x14ac:dyDescent="0.3">
      <c r="A24" s="71">
        <v>1</v>
      </c>
      <c r="B24" s="72">
        <v>41921995</v>
      </c>
      <c r="C24" s="72">
        <v>13123.1</v>
      </c>
      <c r="D24" s="73">
        <v>1</v>
      </c>
      <c r="E24" s="96">
        <v>11.7</v>
      </c>
      <c r="F24" s="118">
        <v>2.16</v>
      </c>
      <c r="G24" s="119">
        <v>19.8</v>
      </c>
    </row>
    <row r="25" spans="1:7" ht="16.5" customHeight="1" x14ac:dyDescent="0.3">
      <c r="A25" s="71">
        <v>2</v>
      </c>
      <c r="B25" s="72">
        <v>42093304</v>
      </c>
      <c r="C25" s="72">
        <v>13053</v>
      </c>
      <c r="D25" s="73">
        <v>1</v>
      </c>
      <c r="E25" s="98">
        <v>11.7</v>
      </c>
      <c r="F25" s="118">
        <v>2.16</v>
      </c>
      <c r="G25" s="119">
        <v>19.8</v>
      </c>
    </row>
    <row r="26" spans="1:7" ht="16.5" customHeight="1" x14ac:dyDescent="0.3">
      <c r="A26" s="71">
        <v>3</v>
      </c>
      <c r="B26" s="72">
        <v>41941728</v>
      </c>
      <c r="C26" s="72">
        <v>13088.9</v>
      </c>
      <c r="D26" s="73">
        <v>1</v>
      </c>
      <c r="E26" s="98">
        <v>11.7</v>
      </c>
      <c r="F26" s="118">
        <v>2.16</v>
      </c>
      <c r="G26" s="119">
        <v>19.8</v>
      </c>
    </row>
    <row r="27" spans="1:7" ht="16.5" customHeight="1" x14ac:dyDescent="0.3">
      <c r="A27" s="71">
        <v>4</v>
      </c>
      <c r="B27" s="72">
        <v>42009942</v>
      </c>
      <c r="C27" s="72">
        <v>13060</v>
      </c>
      <c r="D27" s="73">
        <v>1</v>
      </c>
      <c r="E27" s="98">
        <v>11.7</v>
      </c>
      <c r="F27" s="118">
        <v>2.16</v>
      </c>
      <c r="G27" s="119">
        <v>19.7</v>
      </c>
    </row>
    <row r="28" spans="1:7" ht="16.5" customHeight="1" x14ac:dyDescent="0.3">
      <c r="A28" s="71">
        <v>5</v>
      </c>
      <c r="B28" s="72">
        <v>41949704</v>
      </c>
      <c r="C28" s="72">
        <v>13006.9</v>
      </c>
      <c r="D28" s="73">
        <v>1</v>
      </c>
      <c r="E28" s="98">
        <v>11.7</v>
      </c>
      <c r="F28" s="118">
        <v>2.16</v>
      </c>
      <c r="G28" s="119">
        <v>19.7</v>
      </c>
    </row>
    <row r="29" spans="1:7" ht="16.5" customHeight="1" thickBot="1" x14ac:dyDescent="0.35">
      <c r="A29" s="71">
        <v>6</v>
      </c>
      <c r="B29" s="76">
        <v>41975704</v>
      </c>
      <c r="C29" s="76">
        <v>12991.6</v>
      </c>
      <c r="D29" s="77">
        <v>1</v>
      </c>
      <c r="E29" s="100">
        <v>11.7</v>
      </c>
      <c r="F29" s="118">
        <v>2.16</v>
      </c>
      <c r="G29" s="119">
        <v>19.7</v>
      </c>
    </row>
    <row r="30" spans="1:7" ht="16.5" customHeight="1" thickBot="1" x14ac:dyDescent="0.35">
      <c r="A30" s="78" t="s">
        <v>18</v>
      </c>
      <c r="B30" s="79">
        <f t="shared" ref="B30:G30" si="0">AVERAGE(B24:B29)</f>
        <v>41982062.833333336</v>
      </c>
      <c r="C30" s="80">
        <f t="shared" si="0"/>
        <v>13053.916666666666</v>
      </c>
      <c r="D30" s="102">
        <f t="shared" si="0"/>
        <v>1</v>
      </c>
      <c r="E30" s="81">
        <f t="shared" si="0"/>
        <v>11.700000000000001</v>
      </c>
      <c r="F30" s="120">
        <f t="shared" si="0"/>
        <v>2.16</v>
      </c>
      <c r="G30" s="83">
        <f t="shared" si="0"/>
        <v>19.750000000000004</v>
      </c>
    </row>
    <row r="31" spans="1:7" ht="16.5" customHeight="1" x14ac:dyDescent="0.3">
      <c r="A31" s="84" t="s">
        <v>19</v>
      </c>
      <c r="B31" s="85">
        <f>(STDEV(B24:B29)/B30)</f>
        <v>1.4865634815149156E-3</v>
      </c>
      <c r="C31" s="86"/>
      <c r="D31" s="86"/>
      <c r="E31" s="121"/>
      <c r="F31" s="122"/>
      <c r="G31" s="123"/>
    </row>
    <row r="32" spans="1:7" s="57" customFormat="1" ht="16.5" customHeight="1" thickBot="1" x14ac:dyDescent="0.35">
      <c r="A32" s="88" t="s">
        <v>20</v>
      </c>
      <c r="B32" s="89">
        <f>COUNT(B24:B29)</f>
        <v>6</v>
      </c>
      <c r="C32" s="90"/>
      <c r="D32" s="91"/>
      <c r="E32" s="91"/>
      <c r="F32" s="124"/>
      <c r="G32" s="125"/>
    </row>
    <row r="33" spans="1:7" s="57" customFormat="1" ht="15.75" customHeight="1" x14ac:dyDescent="0.25">
      <c r="A33" s="63"/>
      <c r="B33" s="63"/>
      <c r="C33" s="63"/>
      <c r="D33" s="63"/>
      <c r="E33" s="63"/>
    </row>
    <row r="34" spans="1:7" s="57" customFormat="1" ht="16.5" customHeight="1" x14ac:dyDescent="0.3">
      <c r="A34" s="65" t="s">
        <v>21</v>
      </c>
      <c r="B34" s="93" t="s">
        <v>132</v>
      </c>
      <c r="C34" s="94"/>
      <c r="D34" s="94"/>
      <c r="E34" s="94"/>
    </row>
    <row r="35" spans="1:7" ht="16.5" customHeight="1" x14ac:dyDescent="0.3">
      <c r="A35" s="65"/>
      <c r="B35" s="93" t="s">
        <v>133</v>
      </c>
      <c r="C35" s="94"/>
      <c r="D35" s="94"/>
      <c r="E35" s="94"/>
    </row>
    <row r="36" spans="1:7" ht="16.5" customHeight="1" x14ac:dyDescent="0.3">
      <c r="A36" s="65"/>
      <c r="B36" s="93" t="s">
        <v>134</v>
      </c>
      <c r="C36" s="94"/>
      <c r="D36" s="94"/>
      <c r="E36" s="94"/>
    </row>
    <row r="37" spans="1:7" ht="16.5" customHeight="1" x14ac:dyDescent="0.3">
      <c r="A37" s="65"/>
      <c r="B37" s="93" t="s">
        <v>141</v>
      </c>
      <c r="C37" s="94"/>
      <c r="D37" s="94"/>
      <c r="E37" s="94"/>
    </row>
    <row r="38" spans="1:7" ht="15.75" customHeight="1" x14ac:dyDescent="0.25">
      <c r="A38" s="63"/>
      <c r="B38" s="63" t="s">
        <v>142</v>
      </c>
      <c r="C38" s="63"/>
      <c r="D38" s="63"/>
      <c r="E38" s="63"/>
    </row>
    <row r="39" spans="1:7" ht="16.5" customHeight="1" x14ac:dyDescent="0.3">
      <c r="A39" s="60" t="s">
        <v>1</v>
      </c>
      <c r="B39" s="61" t="s">
        <v>22</v>
      </c>
    </row>
    <row r="40" spans="1:7" ht="16.5" customHeight="1" x14ac:dyDescent="0.3">
      <c r="A40" s="65" t="s">
        <v>4</v>
      </c>
      <c r="B40" s="62" t="s">
        <v>137</v>
      </c>
      <c r="C40" s="63"/>
      <c r="D40" s="63"/>
      <c r="E40" s="63"/>
    </row>
    <row r="41" spans="1:7" ht="16.5" customHeight="1" x14ac:dyDescent="0.3">
      <c r="A41" s="65" t="s">
        <v>6</v>
      </c>
      <c r="B41" s="66">
        <v>99.02</v>
      </c>
      <c r="C41" s="63"/>
      <c r="D41" s="63"/>
      <c r="E41" s="63"/>
    </row>
    <row r="42" spans="1:7" ht="16.5" customHeight="1" x14ac:dyDescent="0.3">
      <c r="A42" s="62" t="s">
        <v>8</v>
      </c>
      <c r="B42" s="66">
        <v>17.09</v>
      </c>
      <c r="C42" s="63"/>
      <c r="D42" s="63"/>
      <c r="E42" s="63"/>
    </row>
    <row r="43" spans="1:7" ht="16.5" customHeight="1" x14ac:dyDescent="0.3">
      <c r="A43" s="62" t="s">
        <v>10</v>
      </c>
      <c r="B43" s="67">
        <v>0.1709</v>
      </c>
      <c r="C43" s="63"/>
      <c r="D43" s="63"/>
      <c r="E43" s="63"/>
    </row>
    <row r="44" spans="1:7" ht="15.75" customHeight="1" thickBot="1" x14ac:dyDescent="0.3">
      <c r="A44" s="63"/>
      <c r="B44" s="63"/>
      <c r="C44" s="63"/>
      <c r="D44" s="63"/>
      <c r="E44" s="63"/>
    </row>
    <row r="45" spans="1:7" ht="16.5" customHeight="1" thickBot="1" x14ac:dyDescent="0.35">
      <c r="A45" s="68" t="s">
        <v>13</v>
      </c>
      <c r="B45" s="69" t="s">
        <v>14</v>
      </c>
      <c r="C45" s="68" t="s">
        <v>15</v>
      </c>
      <c r="D45" s="68" t="s">
        <v>16</v>
      </c>
      <c r="E45" s="69" t="s">
        <v>17</v>
      </c>
      <c r="F45" s="95" t="s">
        <v>139</v>
      </c>
      <c r="G45" s="126" t="s">
        <v>140</v>
      </c>
    </row>
    <row r="46" spans="1:7" ht="16.5" customHeight="1" x14ac:dyDescent="0.3">
      <c r="A46" s="71">
        <v>1</v>
      </c>
      <c r="B46" s="72">
        <v>41921995</v>
      </c>
      <c r="C46" s="72">
        <v>13123.1</v>
      </c>
      <c r="D46" s="73">
        <v>1</v>
      </c>
      <c r="E46" s="96">
        <v>11.7</v>
      </c>
      <c r="F46" s="99">
        <v>2.16</v>
      </c>
      <c r="G46" s="127">
        <v>19.8</v>
      </c>
    </row>
    <row r="47" spans="1:7" ht="16.5" customHeight="1" x14ac:dyDescent="0.3">
      <c r="A47" s="71">
        <v>2</v>
      </c>
      <c r="B47" s="72">
        <v>42093304</v>
      </c>
      <c r="C47" s="72">
        <v>13053</v>
      </c>
      <c r="D47" s="73">
        <v>1</v>
      </c>
      <c r="E47" s="98">
        <v>11.7</v>
      </c>
      <c r="F47" s="99">
        <v>2.16</v>
      </c>
      <c r="G47" s="127">
        <v>19.8</v>
      </c>
    </row>
    <row r="48" spans="1:7" ht="16.5" customHeight="1" x14ac:dyDescent="0.3">
      <c r="A48" s="71">
        <v>3</v>
      </c>
      <c r="B48" s="72">
        <v>41941728</v>
      </c>
      <c r="C48" s="72">
        <v>13088.9</v>
      </c>
      <c r="D48" s="73">
        <v>1</v>
      </c>
      <c r="E48" s="98">
        <v>11.7</v>
      </c>
      <c r="F48" s="99">
        <v>2.16</v>
      </c>
      <c r="G48" s="127">
        <v>19.8</v>
      </c>
    </row>
    <row r="49" spans="1:7" ht="16.5" customHeight="1" x14ac:dyDescent="0.3">
      <c r="A49" s="71">
        <v>4</v>
      </c>
      <c r="B49" s="72">
        <v>42009942</v>
      </c>
      <c r="C49" s="72">
        <v>13060</v>
      </c>
      <c r="D49" s="73">
        <v>1</v>
      </c>
      <c r="E49" s="98">
        <v>11.7</v>
      </c>
      <c r="F49" s="99">
        <v>2.16</v>
      </c>
      <c r="G49" s="127">
        <v>19.7</v>
      </c>
    </row>
    <row r="50" spans="1:7" ht="16.5" customHeight="1" x14ac:dyDescent="0.3">
      <c r="A50" s="71">
        <v>5</v>
      </c>
      <c r="B50" s="72">
        <v>41949704</v>
      </c>
      <c r="C50" s="72">
        <v>13006.9</v>
      </c>
      <c r="D50" s="73">
        <v>1</v>
      </c>
      <c r="E50" s="98">
        <v>11.7</v>
      </c>
      <c r="F50" s="99">
        <v>2.16</v>
      </c>
      <c r="G50" s="127">
        <v>19.7</v>
      </c>
    </row>
    <row r="51" spans="1:7" ht="16.5" customHeight="1" x14ac:dyDescent="0.3">
      <c r="A51" s="71">
        <v>6</v>
      </c>
      <c r="B51" s="76">
        <v>41975704</v>
      </c>
      <c r="C51" s="76">
        <v>12991.6</v>
      </c>
      <c r="D51" s="77">
        <v>1</v>
      </c>
      <c r="E51" s="100">
        <v>11.7</v>
      </c>
      <c r="F51" s="99">
        <v>2.16</v>
      </c>
      <c r="G51" s="127">
        <v>19.7</v>
      </c>
    </row>
    <row r="52" spans="1:7" ht="16.5" customHeight="1" x14ac:dyDescent="0.3">
      <c r="A52" s="78" t="s">
        <v>18</v>
      </c>
      <c r="B52" s="79">
        <v>41982062.833333336</v>
      </c>
      <c r="C52" s="80">
        <v>13053.916666666666</v>
      </c>
      <c r="D52" s="102">
        <v>1</v>
      </c>
      <c r="E52" s="81">
        <v>11.700000000000001</v>
      </c>
      <c r="F52" s="128">
        <v>2.16</v>
      </c>
      <c r="G52" s="129">
        <v>19.750000000000004</v>
      </c>
    </row>
    <row r="53" spans="1:7" ht="16.5" customHeight="1" x14ac:dyDescent="0.3">
      <c r="A53" s="84" t="s">
        <v>19</v>
      </c>
      <c r="B53" s="85"/>
      <c r="C53" s="86"/>
      <c r="D53" s="86"/>
      <c r="E53" s="121"/>
      <c r="F53" s="122"/>
      <c r="G53" s="130"/>
    </row>
    <row r="54" spans="1:7" s="57" customFormat="1" ht="16.5" customHeight="1" thickBot="1" x14ac:dyDescent="0.35">
      <c r="A54" s="88" t="s">
        <v>20</v>
      </c>
      <c r="B54" s="89"/>
      <c r="C54" s="90"/>
      <c r="D54" s="91"/>
      <c r="E54" s="91"/>
      <c r="F54" s="124"/>
      <c r="G54" s="131"/>
    </row>
    <row r="55" spans="1:7" s="57" customFormat="1" ht="15.75" customHeight="1" x14ac:dyDescent="0.25">
      <c r="A55" s="63"/>
      <c r="B55" s="63"/>
      <c r="C55" s="63"/>
      <c r="D55" s="63"/>
      <c r="E55" s="63"/>
    </row>
    <row r="56" spans="1:7" s="57" customFormat="1" ht="16.5" customHeight="1" x14ac:dyDescent="0.3">
      <c r="A56" s="65" t="s">
        <v>21</v>
      </c>
      <c r="B56" s="93" t="s">
        <v>132</v>
      </c>
      <c r="C56" s="94"/>
      <c r="D56" s="94"/>
      <c r="E56" s="94"/>
    </row>
    <row r="57" spans="1:7" ht="16.5" customHeight="1" x14ac:dyDescent="0.3">
      <c r="A57" s="65"/>
      <c r="B57" s="93" t="s">
        <v>133</v>
      </c>
      <c r="C57" s="94"/>
      <c r="D57" s="94"/>
      <c r="E57" s="94"/>
    </row>
    <row r="58" spans="1:7" ht="16.5" customHeight="1" x14ac:dyDescent="0.3">
      <c r="A58" s="65"/>
      <c r="B58" s="93" t="s">
        <v>134</v>
      </c>
      <c r="C58" s="94"/>
      <c r="D58" s="94"/>
      <c r="E58" s="94"/>
    </row>
    <row r="59" spans="1:7" ht="14.25" customHeight="1" thickBot="1" x14ac:dyDescent="0.3">
      <c r="A59" s="104"/>
      <c r="B59" s="105"/>
      <c r="D59" s="106"/>
      <c r="F59" s="107"/>
      <c r="G59" s="107"/>
    </row>
    <row r="60" spans="1:7" ht="15" customHeight="1" x14ac:dyDescent="0.3">
      <c r="B60" s="108" t="s">
        <v>23</v>
      </c>
      <c r="C60" s="108"/>
      <c r="E60" s="109" t="s">
        <v>24</v>
      </c>
      <c r="F60" s="110"/>
      <c r="G60" s="109" t="s">
        <v>25</v>
      </c>
    </row>
    <row r="61" spans="1:7" ht="15" customHeight="1" x14ac:dyDescent="0.3">
      <c r="A61" s="111" t="s">
        <v>26</v>
      </c>
      <c r="B61" s="112" t="s">
        <v>136</v>
      </c>
      <c r="C61" s="112"/>
      <c r="E61" s="113">
        <v>43410</v>
      </c>
      <c r="G61" s="112"/>
    </row>
    <row r="62" spans="1:7" ht="15" customHeight="1" x14ac:dyDescent="0.3">
      <c r="A62" s="111" t="s">
        <v>27</v>
      </c>
      <c r="B62" s="114"/>
      <c r="C62" s="114"/>
      <c r="E62" s="114"/>
      <c r="G62" s="1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" zoomScale="41" zoomScaleNormal="40" zoomScalePageLayoutView="41" workbookViewId="0">
      <selection activeCell="B19" sqref="B19"/>
    </sheetView>
  </sheetViews>
  <sheetFormatPr defaultColWidth="9.140625" defaultRowHeight="13.5" x14ac:dyDescent="0.25"/>
  <cols>
    <col min="1" max="1" width="55.42578125" style="133" customWidth="1"/>
    <col min="2" max="2" width="33.7109375" style="133" customWidth="1"/>
    <col min="3" max="3" width="42.28515625" style="133" customWidth="1"/>
    <col min="4" max="4" width="30.5703125" style="133" customWidth="1"/>
    <col min="5" max="5" width="39.85546875" style="133" customWidth="1"/>
    <col min="6" max="6" width="30.7109375" style="133" customWidth="1"/>
    <col min="7" max="7" width="39.85546875" style="133" customWidth="1"/>
    <col min="8" max="8" width="30" style="133" customWidth="1"/>
    <col min="9" max="9" width="30.28515625" style="133" hidden="1" customWidth="1"/>
    <col min="10" max="10" width="30.42578125" style="133" customWidth="1"/>
    <col min="11" max="11" width="21.28515625" style="133" customWidth="1"/>
    <col min="12" max="12" width="9.140625" style="133"/>
    <col min="13" max="16384" width="9.140625" style="140"/>
  </cols>
  <sheetData>
    <row r="1" spans="1:9" ht="18.75" customHeight="1" x14ac:dyDescent="0.25">
      <c r="A1" s="132" t="s">
        <v>42</v>
      </c>
      <c r="B1" s="132"/>
      <c r="C1" s="132"/>
      <c r="D1" s="132"/>
      <c r="E1" s="132"/>
      <c r="F1" s="132"/>
      <c r="G1" s="132"/>
      <c r="H1" s="132"/>
      <c r="I1" s="132"/>
    </row>
    <row r="2" spans="1:9" ht="18.75" customHeight="1" x14ac:dyDescent="0.25">
      <c r="A2" s="132"/>
      <c r="B2" s="132"/>
      <c r="C2" s="132"/>
      <c r="D2" s="132"/>
      <c r="E2" s="132"/>
      <c r="F2" s="132"/>
      <c r="G2" s="132"/>
      <c r="H2" s="132"/>
      <c r="I2" s="132"/>
    </row>
    <row r="3" spans="1:9" ht="18.75" customHeight="1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.75" customHeight="1" x14ac:dyDescent="0.25">
      <c r="A4" s="132"/>
      <c r="B4" s="132"/>
      <c r="C4" s="132"/>
      <c r="D4" s="132"/>
      <c r="E4" s="132"/>
      <c r="F4" s="132"/>
      <c r="G4" s="132"/>
      <c r="H4" s="132"/>
      <c r="I4" s="132"/>
    </row>
    <row r="5" spans="1:9" ht="18.75" customHeight="1" x14ac:dyDescent="0.25">
      <c r="A5" s="132"/>
      <c r="B5" s="132"/>
      <c r="C5" s="132"/>
      <c r="D5" s="132"/>
      <c r="E5" s="132"/>
      <c r="F5" s="132"/>
      <c r="G5" s="132"/>
      <c r="H5" s="132"/>
      <c r="I5" s="132"/>
    </row>
    <row r="6" spans="1:9" ht="18.75" customHeight="1" x14ac:dyDescent="0.25">
      <c r="A6" s="132"/>
      <c r="B6" s="132"/>
      <c r="C6" s="132"/>
      <c r="D6" s="132"/>
      <c r="E6" s="132"/>
      <c r="F6" s="132"/>
      <c r="G6" s="132"/>
      <c r="H6" s="132"/>
      <c r="I6" s="132"/>
    </row>
    <row r="7" spans="1:9" ht="18.75" customHeight="1" x14ac:dyDescent="0.25">
      <c r="A7" s="132"/>
      <c r="B7" s="132"/>
      <c r="C7" s="132"/>
      <c r="D7" s="132"/>
      <c r="E7" s="132"/>
      <c r="F7" s="132"/>
      <c r="G7" s="132"/>
      <c r="H7" s="132"/>
      <c r="I7" s="132"/>
    </row>
    <row r="8" spans="1:9" x14ac:dyDescent="0.25">
      <c r="A8" s="134" t="s">
        <v>43</v>
      </c>
      <c r="B8" s="134"/>
      <c r="C8" s="134"/>
      <c r="D8" s="134"/>
      <c r="E8" s="134"/>
      <c r="F8" s="134"/>
      <c r="G8" s="134"/>
      <c r="H8" s="134"/>
      <c r="I8" s="134"/>
    </row>
    <row r="9" spans="1:9" x14ac:dyDescent="0.25">
      <c r="A9" s="134"/>
      <c r="B9" s="134"/>
      <c r="C9" s="134"/>
      <c r="D9" s="134"/>
      <c r="E9" s="134"/>
      <c r="F9" s="134"/>
      <c r="G9" s="134"/>
      <c r="H9" s="134"/>
      <c r="I9" s="134"/>
    </row>
    <row r="10" spans="1:9" x14ac:dyDescent="0.25">
      <c r="A10" s="134"/>
      <c r="B10" s="134"/>
      <c r="C10" s="134"/>
      <c r="D10" s="134"/>
      <c r="E10" s="134"/>
      <c r="F10" s="134"/>
      <c r="G10" s="134"/>
      <c r="H10" s="134"/>
      <c r="I10" s="134"/>
    </row>
    <row r="11" spans="1:9" x14ac:dyDescent="0.25">
      <c r="A11" s="134"/>
      <c r="B11" s="134"/>
      <c r="C11" s="134"/>
      <c r="D11" s="134"/>
      <c r="E11" s="134"/>
      <c r="F11" s="134"/>
      <c r="G11" s="134"/>
      <c r="H11" s="134"/>
      <c r="I11" s="134"/>
    </row>
    <row r="12" spans="1:9" x14ac:dyDescent="0.25">
      <c r="A12" s="134"/>
      <c r="B12" s="134"/>
      <c r="C12" s="134"/>
      <c r="D12" s="134"/>
      <c r="E12" s="134"/>
      <c r="F12" s="134"/>
      <c r="G12" s="134"/>
      <c r="H12" s="134"/>
      <c r="I12" s="134"/>
    </row>
    <row r="13" spans="1:9" x14ac:dyDescent="0.25">
      <c r="A13" s="134"/>
      <c r="B13" s="134"/>
      <c r="C13" s="134"/>
      <c r="D13" s="134"/>
      <c r="E13" s="134"/>
      <c r="F13" s="134"/>
      <c r="G13" s="134"/>
      <c r="H13" s="134"/>
      <c r="I13" s="134"/>
    </row>
    <row r="14" spans="1:9" x14ac:dyDescent="0.25">
      <c r="A14" s="134"/>
      <c r="B14" s="134"/>
      <c r="C14" s="134"/>
      <c r="D14" s="134"/>
      <c r="E14" s="134"/>
      <c r="F14" s="134"/>
      <c r="G14" s="134"/>
      <c r="H14" s="134"/>
      <c r="I14" s="134"/>
    </row>
    <row r="15" spans="1:9" ht="19.5" customHeight="1" thickBot="1" x14ac:dyDescent="0.35">
      <c r="A15" s="135"/>
    </row>
    <row r="16" spans="1:9" ht="19.5" customHeight="1" thickBot="1" x14ac:dyDescent="0.35">
      <c r="A16" s="136" t="s">
        <v>28</v>
      </c>
      <c r="B16" s="137"/>
      <c r="C16" s="137"/>
      <c r="D16" s="137"/>
      <c r="E16" s="137"/>
      <c r="F16" s="137"/>
      <c r="G16" s="137"/>
      <c r="H16" s="138"/>
    </row>
    <row r="17" spans="1:14" ht="20.25" customHeight="1" x14ac:dyDescent="0.25">
      <c r="A17" s="139" t="s">
        <v>44</v>
      </c>
      <c r="B17" s="139"/>
      <c r="C17" s="139"/>
      <c r="D17" s="139"/>
      <c r="E17" s="139"/>
      <c r="F17" s="139"/>
      <c r="G17" s="139"/>
      <c r="H17" s="139"/>
    </row>
    <row r="18" spans="1:14" ht="26.25" customHeight="1" x14ac:dyDescent="0.4">
      <c r="A18" s="141" t="s">
        <v>30</v>
      </c>
      <c r="B18" s="142" t="s">
        <v>143</v>
      </c>
      <c r="C18" s="142"/>
      <c r="D18" s="143"/>
      <c r="E18" s="144"/>
      <c r="F18" s="145"/>
      <c r="G18" s="145"/>
      <c r="H18" s="145"/>
    </row>
    <row r="19" spans="1:14" ht="26.25" customHeight="1" x14ac:dyDescent="0.4">
      <c r="A19" s="141" t="s">
        <v>31</v>
      </c>
      <c r="B19" s="146" t="s">
        <v>7</v>
      </c>
      <c r="C19" s="145">
        <v>1</v>
      </c>
      <c r="D19" s="145"/>
      <c r="E19" s="145"/>
      <c r="F19" s="145"/>
      <c r="G19" s="145"/>
      <c r="H19" s="145"/>
    </row>
    <row r="20" spans="1:14" ht="26.25" customHeight="1" x14ac:dyDescent="0.4">
      <c r="A20" s="141" t="s">
        <v>32</v>
      </c>
      <c r="B20" s="147" t="s">
        <v>144</v>
      </c>
      <c r="C20" s="147"/>
      <c r="D20" s="145"/>
      <c r="E20" s="145"/>
      <c r="F20" s="145"/>
      <c r="G20" s="145"/>
      <c r="H20" s="145"/>
    </row>
    <row r="21" spans="1:14" ht="26.25" customHeight="1" x14ac:dyDescent="0.4">
      <c r="A21" s="141" t="s">
        <v>33</v>
      </c>
      <c r="B21" s="147" t="s">
        <v>145</v>
      </c>
      <c r="C21" s="147"/>
      <c r="D21" s="147"/>
      <c r="E21" s="147"/>
      <c r="F21" s="147"/>
      <c r="G21" s="147"/>
      <c r="H21" s="147"/>
      <c r="I21" s="148"/>
    </row>
    <row r="22" spans="1:14" ht="26.25" customHeight="1" x14ac:dyDescent="0.4">
      <c r="A22" s="141" t="s">
        <v>34</v>
      </c>
      <c r="B22" s="149" t="s">
        <v>146</v>
      </c>
      <c r="C22" s="145"/>
      <c r="D22" s="145"/>
      <c r="E22" s="145"/>
      <c r="F22" s="145"/>
      <c r="G22" s="145"/>
      <c r="H22" s="145"/>
    </row>
    <row r="23" spans="1:14" ht="26.25" customHeight="1" x14ac:dyDescent="0.4">
      <c r="A23" s="141" t="s">
        <v>35</v>
      </c>
      <c r="B23" s="149"/>
      <c r="C23" s="145"/>
      <c r="D23" s="145"/>
      <c r="E23" s="145"/>
      <c r="F23" s="145"/>
      <c r="G23" s="145"/>
      <c r="H23" s="145"/>
    </row>
    <row r="24" spans="1:14" ht="18.75" x14ac:dyDescent="0.3">
      <c r="A24" s="141"/>
      <c r="B24" s="150"/>
    </row>
    <row r="25" spans="1:14" ht="18.75" x14ac:dyDescent="0.3">
      <c r="A25" s="151" t="s">
        <v>1</v>
      </c>
      <c r="B25" s="150"/>
    </row>
    <row r="26" spans="1:14" ht="26.25" customHeight="1" x14ac:dyDescent="0.4">
      <c r="A26" s="152" t="s">
        <v>4</v>
      </c>
      <c r="B26" s="142" t="s">
        <v>137</v>
      </c>
      <c r="C26" s="142"/>
    </row>
    <row r="27" spans="1:14" ht="26.25" customHeight="1" x14ac:dyDescent="0.4">
      <c r="A27" s="153" t="s">
        <v>45</v>
      </c>
      <c r="B27" s="154" t="s">
        <v>147</v>
      </c>
      <c r="C27" s="154"/>
    </row>
    <row r="28" spans="1:14" ht="27" customHeight="1" thickBot="1" x14ac:dyDescent="0.45">
      <c r="A28" s="153" t="s">
        <v>6</v>
      </c>
      <c r="B28" s="155">
        <v>99.02</v>
      </c>
    </row>
    <row r="29" spans="1:14" s="160" customFormat="1" ht="27" customHeight="1" thickBot="1" x14ac:dyDescent="0.45">
      <c r="A29" s="153" t="s">
        <v>46</v>
      </c>
      <c r="B29" s="156">
        <v>0</v>
      </c>
      <c r="C29" s="157" t="s">
        <v>47</v>
      </c>
      <c r="D29" s="158"/>
      <c r="E29" s="158"/>
      <c r="F29" s="158"/>
      <c r="G29" s="159"/>
      <c r="I29" s="161"/>
      <c r="J29" s="161"/>
      <c r="K29" s="161"/>
      <c r="L29" s="161"/>
    </row>
    <row r="30" spans="1:14" s="160" customFormat="1" ht="19.5" customHeight="1" thickBot="1" x14ac:dyDescent="0.35">
      <c r="A30" s="153" t="s">
        <v>48</v>
      </c>
      <c r="B30" s="162">
        <f>B28-B29</f>
        <v>99.02</v>
      </c>
      <c r="C30" s="163"/>
      <c r="D30" s="163"/>
      <c r="E30" s="163"/>
      <c r="F30" s="163"/>
      <c r="G30" s="164"/>
      <c r="I30" s="161"/>
      <c r="J30" s="161"/>
      <c r="K30" s="161"/>
      <c r="L30" s="161"/>
    </row>
    <row r="31" spans="1:14" s="160" customFormat="1" ht="27" customHeight="1" thickBot="1" x14ac:dyDescent="0.45">
      <c r="A31" s="153" t="s">
        <v>49</v>
      </c>
      <c r="B31" s="165">
        <v>1</v>
      </c>
      <c r="C31" s="166" t="s">
        <v>50</v>
      </c>
      <c r="D31" s="167"/>
      <c r="E31" s="167"/>
      <c r="F31" s="167"/>
      <c r="G31" s="167"/>
      <c r="H31" s="168"/>
      <c r="I31" s="161"/>
      <c r="J31" s="161"/>
      <c r="K31" s="161"/>
      <c r="L31" s="161"/>
    </row>
    <row r="32" spans="1:14" s="160" customFormat="1" ht="27" customHeight="1" thickBot="1" x14ac:dyDescent="0.45">
      <c r="A32" s="153" t="s">
        <v>51</v>
      </c>
      <c r="B32" s="165">
        <v>1</v>
      </c>
      <c r="C32" s="166" t="s">
        <v>52</v>
      </c>
      <c r="D32" s="167"/>
      <c r="E32" s="167"/>
      <c r="F32" s="167"/>
      <c r="G32" s="167"/>
      <c r="H32" s="168"/>
      <c r="I32" s="161"/>
      <c r="J32" s="161"/>
      <c r="K32" s="161"/>
      <c r="L32" s="169"/>
      <c r="M32" s="169"/>
      <c r="N32" s="170"/>
    </row>
    <row r="33" spans="1:14" s="160" customFormat="1" ht="17.25" customHeight="1" x14ac:dyDescent="0.3">
      <c r="A33" s="153"/>
      <c r="B33" s="171"/>
      <c r="C33" s="172"/>
      <c r="D33" s="172"/>
      <c r="E33" s="172"/>
      <c r="F33" s="172"/>
      <c r="G33" s="172"/>
      <c r="H33" s="172"/>
      <c r="I33" s="161"/>
      <c r="J33" s="161"/>
      <c r="K33" s="161"/>
      <c r="L33" s="169"/>
      <c r="M33" s="169"/>
      <c r="N33" s="170"/>
    </row>
    <row r="34" spans="1:14" s="160" customFormat="1" ht="18.75" x14ac:dyDescent="0.3">
      <c r="A34" s="153" t="s">
        <v>53</v>
      </c>
      <c r="B34" s="173">
        <f>B31/B32</f>
        <v>1</v>
      </c>
      <c r="C34" s="135" t="s">
        <v>54</v>
      </c>
      <c r="D34" s="135"/>
      <c r="E34" s="135"/>
      <c r="F34" s="135"/>
      <c r="G34" s="135"/>
      <c r="I34" s="161"/>
      <c r="J34" s="161"/>
      <c r="K34" s="161"/>
      <c r="L34" s="169"/>
      <c r="M34" s="169"/>
      <c r="N34" s="170"/>
    </row>
    <row r="35" spans="1:14" s="160" customFormat="1" ht="19.5" customHeight="1" thickBot="1" x14ac:dyDescent="0.35">
      <c r="A35" s="153"/>
      <c r="B35" s="162"/>
      <c r="G35" s="135"/>
      <c r="I35" s="161"/>
      <c r="J35" s="161"/>
      <c r="K35" s="161"/>
      <c r="L35" s="169"/>
      <c r="M35" s="169"/>
      <c r="N35" s="170"/>
    </row>
    <row r="36" spans="1:14" s="160" customFormat="1" ht="27" customHeight="1" thickBot="1" x14ac:dyDescent="0.45">
      <c r="A36" s="174" t="s">
        <v>55</v>
      </c>
      <c r="B36" s="175">
        <v>100</v>
      </c>
      <c r="C36" s="135"/>
      <c r="D36" s="176" t="s">
        <v>56</v>
      </c>
      <c r="E36" s="177"/>
      <c r="F36" s="176" t="s">
        <v>57</v>
      </c>
      <c r="G36" s="178"/>
      <c r="J36" s="161"/>
      <c r="K36" s="161"/>
      <c r="L36" s="169"/>
      <c r="M36" s="169"/>
      <c r="N36" s="170"/>
    </row>
    <row r="37" spans="1:14" s="160" customFormat="1" ht="27" customHeight="1" thickBot="1" x14ac:dyDescent="0.45">
      <c r="A37" s="179" t="s">
        <v>58</v>
      </c>
      <c r="B37" s="180">
        <v>1</v>
      </c>
      <c r="C37" s="181" t="s">
        <v>59</v>
      </c>
      <c r="D37" s="182" t="s">
        <v>60</v>
      </c>
      <c r="E37" s="183" t="s">
        <v>61</v>
      </c>
      <c r="F37" s="182" t="s">
        <v>60</v>
      </c>
      <c r="G37" s="184" t="s">
        <v>61</v>
      </c>
      <c r="I37" s="185" t="s">
        <v>62</v>
      </c>
      <c r="J37" s="161"/>
      <c r="K37" s="161"/>
      <c r="L37" s="169"/>
      <c r="M37" s="169"/>
      <c r="N37" s="170"/>
    </row>
    <row r="38" spans="1:14" s="160" customFormat="1" ht="26.25" customHeight="1" x14ac:dyDescent="0.4">
      <c r="A38" s="179" t="s">
        <v>63</v>
      </c>
      <c r="B38" s="180">
        <v>1</v>
      </c>
      <c r="C38" s="186">
        <v>1</v>
      </c>
      <c r="D38" s="187">
        <v>41948719</v>
      </c>
      <c r="E38" s="188">
        <f>IF(ISBLANK(D38),"-",$D$48/$D$45*D38)</f>
        <v>39661916.979494423</v>
      </c>
      <c r="F38" s="187">
        <v>40123112</v>
      </c>
      <c r="G38" s="189">
        <f>IF(ISBLANK(F38),"-",$D$48/$F$45*F38)</f>
        <v>39995272.11210268</v>
      </c>
      <c r="I38" s="190"/>
      <c r="J38" s="161"/>
      <c r="K38" s="161"/>
      <c r="L38" s="169"/>
      <c r="M38" s="169"/>
      <c r="N38" s="170"/>
    </row>
    <row r="39" spans="1:14" s="160" customFormat="1" ht="26.25" customHeight="1" x14ac:dyDescent="0.4">
      <c r="A39" s="179" t="s">
        <v>64</v>
      </c>
      <c r="B39" s="180">
        <v>1</v>
      </c>
      <c r="C39" s="191">
        <v>2</v>
      </c>
      <c r="D39" s="192">
        <v>42096409</v>
      </c>
      <c r="E39" s="193">
        <f>IF(ISBLANK(D39),"-",$D$48/$D$45*D39)</f>
        <v>39801555.773201123</v>
      </c>
      <c r="F39" s="192">
        <v>39814884</v>
      </c>
      <c r="G39" s="194">
        <f>IF(ISBLANK(F39),"-",$D$48/$F$45*F39)</f>
        <v>39688026.18530196</v>
      </c>
      <c r="I39" s="195">
        <f>ABS((F43/D43*D42)-F42)/D42</f>
        <v>3.0466719390612497E-3</v>
      </c>
      <c r="J39" s="161"/>
      <c r="K39" s="161"/>
      <c r="L39" s="169"/>
      <c r="M39" s="169"/>
      <c r="N39" s="170"/>
    </row>
    <row r="40" spans="1:14" ht="26.25" customHeight="1" x14ac:dyDescent="0.4">
      <c r="A40" s="179" t="s">
        <v>65</v>
      </c>
      <c r="B40" s="180">
        <v>1</v>
      </c>
      <c r="C40" s="191">
        <v>3</v>
      </c>
      <c r="D40" s="192">
        <v>41804166</v>
      </c>
      <c r="E40" s="193">
        <f>IF(ISBLANK(D40),"-",$D$48/$D$45*D40)</f>
        <v>39525244.174655326</v>
      </c>
      <c r="F40" s="192">
        <v>39814475</v>
      </c>
      <c r="G40" s="194">
        <f>IF(ISBLANK(F40),"-",$D$48/$F$45*F40)</f>
        <v>39687618.488453969</v>
      </c>
      <c r="I40" s="195"/>
      <c r="L40" s="169"/>
      <c r="M40" s="169"/>
      <c r="N40" s="135"/>
    </row>
    <row r="41" spans="1:14" ht="27" customHeight="1" thickBot="1" x14ac:dyDescent="0.45">
      <c r="A41" s="179" t="s">
        <v>66</v>
      </c>
      <c r="B41" s="180">
        <v>1</v>
      </c>
      <c r="C41" s="196">
        <v>4</v>
      </c>
      <c r="D41" s="197"/>
      <c r="E41" s="198" t="str">
        <f>IF(ISBLANK(D41),"-",$D$48/$D$45*D41)</f>
        <v>-</v>
      </c>
      <c r="F41" s="197"/>
      <c r="G41" s="199" t="str">
        <f>IF(ISBLANK(F41),"-",$D$48/$F$45*F41)</f>
        <v>-</v>
      </c>
      <c r="I41" s="200"/>
      <c r="L41" s="169"/>
      <c r="M41" s="169"/>
      <c r="N41" s="135"/>
    </row>
    <row r="42" spans="1:14" ht="27" customHeight="1" thickBot="1" x14ac:dyDescent="0.45">
      <c r="A42" s="179" t="s">
        <v>67</v>
      </c>
      <c r="B42" s="180">
        <v>1</v>
      </c>
      <c r="C42" s="201" t="s">
        <v>68</v>
      </c>
      <c r="D42" s="202">
        <f>AVERAGE(D38:D41)</f>
        <v>41949764.666666664</v>
      </c>
      <c r="E42" s="203">
        <f>AVERAGE(E38:E41)</f>
        <v>39662905.642450295</v>
      </c>
      <c r="F42" s="202">
        <f>AVERAGE(F38:F41)</f>
        <v>39917490.333333336</v>
      </c>
      <c r="G42" s="204">
        <f>AVERAGE(G38:G41)</f>
        <v>39790305.595286205</v>
      </c>
      <c r="H42" s="205"/>
    </row>
    <row r="43" spans="1:14" ht="26.25" customHeight="1" x14ac:dyDescent="0.4">
      <c r="A43" s="179" t="s">
        <v>69</v>
      </c>
      <c r="B43" s="180">
        <v>1</v>
      </c>
      <c r="C43" s="206" t="s">
        <v>70</v>
      </c>
      <c r="D43" s="207">
        <v>17.09</v>
      </c>
      <c r="E43" s="135"/>
      <c r="F43" s="207">
        <v>16.21</v>
      </c>
      <c r="H43" s="205"/>
    </row>
    <row r="44" spans="1:14" ht="26.25" customHeight="1" x14ac:dyDescent="0.4">
      <c r="A44" s="179" t="s">
        <v>71</v>
      </c>
      <c r="B44" s="180">
        <v>1</v>
      </c>
      <c r="C44" s="208" t="s">
        <v>72</v>
      </c>
      <c r="D44" s="209">
        <f>D43*$B$34</f>
        <v>17.09</v>
      </c>
      <c r="E44" s="210"/>
      <c r="F44" s="209">
        <f>F43*$B$34</f>
        <v>16.21</v>
      </c>
      <c r="H44" s="205"/>
    </row>
    <row r="45" spans="1:14" ht="19.5" customHeight="1" thickBot="1" x14ac:dyDescent="0.35">
      <c r="A45" s="179" t="s">
        <v>73</v>
      </c>
      <c r="B45" s="191">
        <f>(B44/B43)*(B42/B41)*(B40/B39)*(B38/B37)*B36</f>
        <v>100</v>
      </c>
      <c r="C45" s="208" t="s">
        <v>74</v>
      </c>
      <c r="D45" s="211">
        <f>D44*$B$30/100</f>
        <v>16.922518</v>
      </c>
      <c r="E45" s="212"/>
      <c r="F45" s="211">
        <f>F44*$B$30/100</f>
        <v>16.051141999999999</v>
      </c>
      <c r="H45" s="205"/>
    </row>
    <row r="46" spans="1:14" ht="19.5" customHeight="1" thickBot="1" x14ac:dyDescent="0.35">
      <c r="A46" s="213" t="s">
        <v>75</v>
      </c>
      <c r="B46" s="214"/>
      <c r="C46" s="208" t="s">
        <v>76</v>
      </c>
      <c r="D46" s="215">
        <f>D45/$B$45</f>
        <v>0.16922518</v>
      </c>
      <c r="E46" s="216"/>
      <c r="F46" s="217">
        <f>F45/$B$45</f>
        <v>0.16051141999999999</v>
      </c>
      <c r="H46" s="205"/>
    </row>
    <row r="47" spans="1:14" ht="27" customHeight="1" thickBot="1" x14ac:dyDescent="0.45">
      <c r="A47" s="218"/>
      <c r="B47" s="219"/>
      <c r="C47" s="220" t="s">
        <v>77</v>
      </c>
      <c r="D47" s="221">
        <v>0.16</v>
      </c>
      <c r="E47" s="222"/>
      <c r="F47" s="216"/>
      <c r="H47" s="205"/>
    </row>
    <row r="48" spans="1:14" ht="18.75" x14ac:dyDescent="0.3">
      <c r="C48" s="223" t="s">
        <v>78</v>
      </c>
      <c r="D48" s="211">
        <f>D47*$B$45</f>
        <v>16</v>
      </c>
      <c r="F48" s="224"/>
      <c r="H48" s="205"/>
    </row>
    <row r="49" spans="1:12" ht="19.5" customHeight="1" thickBot="1" x14ac:dyDescent="0.35">
      <c r="C49" s="225" t="s">
        <v>79</v>
      </c>
      <c r="D49" s="226">
        <f>D48/B34</f>
        <v>16</v>
      </c>
      <c r="F49" s="224"/>
      <c r="H49" s="205"/>
    </row>
    <row r="50" spans="1:12" ht="18.75" x14ac:dyDescent="0.3">
      <c r="C50" s="174" t="s">
        <v>80</v>
      </c>
      <c r="D50" s="227">
        <f>AVERAGE(E38:E41,G38:G41)</f>
        <v>39726605.618868254</v>
      </c>
      <c r="F50" s="228"/>
      <c r="H50" s="205"/>
    </row>
    <row r="51" spans="1:12" ht="18.75" x14ac:dyDescent="0.3">
      <c r="C51" s="179" t="s">
        <v>81</v>
      </c>
      <c r="D51" s="229">
        <f>STDEV(E38:E41,G38:G41)/D50</f>
        <v>3.9886160473408374E-3</v>
      </c>
      <c r="F51" s="228"/>
      <c r="H51" s="205"/>
    </row>
    <row r="52" spans="1:12" ht="19.5" customHeight="1" thickBot="1" x14ac:dyDescent="0.35">
      <c r="C52" s="230" t="s">
        <v>20</v>
      </c>
      <c r="D52" s="231">
        <f>COUNT(E38:E41,G38:G41)</f>
        <v>6</v>
      </c>
      <c r="F52" s="228"/>
    </row>
    <row r="54" spans="1:12" ht="18.75" x14ac:dyDescent="0.3">
      <c r="A54" s="232" t="s">
        <v>1</v>
      </c>
      <c r="B54" s="233" t="s">
        <v>82</v>
      </c>
    </row>
    <row r="55" spans="1:12" ht="18.75" x14ac:dyDescent="0.3">
      <c r="A55" s="135" t="s">
        <v>83</v>
      </c>
      <c r="B55" s="234" t="str">
        <f>B21</f>
        <v>Each tablet contains: Sulphamethoxazole BP 800 mg and Trimethoprim BP 160 mg.</v>
      </c>
    </row>
    <row r="56" spans="1:12" ht="26.25" customHeight="1" x14ac:dyDescent="0.4">
      <c r="A56" s="234" t="s">
        <v>84</v>
      </c>
      <c r="B56" s="235">
        <v>800</v>
      </c>
      <c r="C56" s="135" t="str">
        <f>B20</f>
        <v>each tablets contains sulphamethoxazole 800mg Trimethoprim 160mg.</v>
      </c>
      <c r="H56" s="210"/>
    </row>
    <row r="57" spans="1:12" ht="18.75" x14ac:dyDescent="0.3">
      <c r="A57" s="234" t="s">
        <v>85</v>
      </c>
      <c r="B57" s="236">
        <f>[1]Uniformity!C46</f>
        <v>1053.106</v>
      </c>
      <c r="H57" s="210"/>
    </row>
    <row r="58" spans="1:12" ht="19.5" customHeight="1" thickBot="1" x14ac:dyDescent="0.35">
      <c r="H58" s="210"/>
    </row>
    <row r="59" spans="1:12" s="160" customFormat="1" ht="27" customHeight="1" thickBot="1" x14ac:dyDescent="0.45">
      <c r="A59" s="174" t="s">
        <v>86</v>
      </c>
      <c r="B59" s="175">
        <v>100</v>
      </c>
      <c r="C59" s="135"/>
      <c r="D59" s="237" t="s">
        <v>87</v>
      </c>
      <c r="E59" s="238" t="s">
        <v>59</v>
      </c>
      <c r="F59" s="238" t="s">
        <v>60</v>
      </c>
      <c r="G59" s="238" t="s">
        <v>88</v>
      </c>
      <c r="H59" s="181" t="s">
        <v>89</v>
      </c>
      <c r="L59" s="161"/>
    </row>
    <row r="60" spans="1:12" s="160" customFormat="1" ht="26.25" customHeight="1" x14ac:dyDescent="0.4">
      <c r="A60" s="179" t="s">
        <v>90</v>
      </c>
      <c r="B60" s="180">
        <v>2</v>
      </c>
      <c r="C60" s="239" t="s">
        <v>91</v>
      </c>
      <c r="D60" s="240">
        <v>1046.1400000000001</v>
      </c>
      <c r="E60" s="241">
        <v>1</v>
      </c>
      <c r="F60" s="242">
        <v>38985498</v>
      </c>
      <c r="G60" s="243">
        <f>IF(ISBLANK(F60),"-",(F60/$D$50*$D$47*$B$68)*($B$57/$D$60))</f>
        <v>790.30347834010252</v>
      </c>
      <c r="H60" s="244">
        <f t="shared" ref="H60:H71" si="0">IF(ISBLANK(F60),"-",(G60/$B$56)*100)</f>
        <v>98.787934792512814</v>
      </c>
      <c r="L60" s="161"/>
    </row>
    <row r="61" spans="1:12" s="160" customFormat="1" ht="26.25" customHeight="1" x14ac:dyDescent="0.4">
      <c r="A61" s="179" t="s">
        <v>92</v>
      </c>
      <c r="B61" s="180">
        <v>100</v>
      </c>
      <c r="C61" s="245"/>
      <c r="D61" s="246"/>
      <c r="E61" s="247">
        <v>2</v>
      </c>
      <c r="F61" s="192">
        <v>39075878</v>
      </c>
      <c r="G61" s="248">
        <f>IF(ISBLANK(F61),"-",(F61/$D$50*$D$47*$B$68)*($B$57/$D$60))</f>
        <v>792.13563727192832</v>
      </c>
      <c r="H61" s="249">
        <f t="shared" si="0"/>
        <v>99.01695465899104</v>
      </c>
      <c r="L61" s="161"/>
    </row>
    <row r="62" spans="1:12" s="160" customFormat="1" ht="26.25" customHeight="1" x14ac:dyDescent="0.4">
      <c r="A62" s="179" t="s">
        <v>93</v>
      </c>
      <c r="B62" s="180">
        <v>1</v>
      </c>
      <c r="C62" s="245"/>
      <c r="D62" s="246"/>
      <c r="E62" s="247">
        <v>3</v>
      </c>
      <c r="F62" s="250">
        <v>38950282</v>
      </c>
      <c r="G62" s="248">
        <f>IF(ISBLANK(F62),"-",(F62/$D$50*$D$47*$B$68)*($B$57/$D$60))</f>
        <v>789.58958910638728</v>
      </c>
      <c r="H62" s="249">
        <f t="shared" si="0"/>
        <v>98.69869863829841</v>
      </c>
      <c r="L62" s="161"/>
    </row>
    <row r="63" spans="1:12" ht="27" customHeight="1" thickBot="1" x14ac:dyDescent="0.45">
      <c r="A63" s="179" t="s">
        <v>94</v>
      </c>
      <c r="B63" s="180">
        <v>1</v>
      </c>
      <c r="C63" s="251"/>
      <c r="D63" s="252"/>
      <c r="E63" s="253">
        <v>4</v>
      </c>
      <c r="F63" s="254"/>
      <c r="G63" s="248" t="str">
        <f>IF(ISBLANK(F63),"-",(F63/$D$50*$D$47*$B$68)*($B$57/$D$60))</f>
        <v>-</v>
      </c>
      <c r="H63" s="249" t="str">
        <f t="shared" si="0"/>
        <v>-</v>
      </c>
    </row>
    <row r="64" spans="1:12" ht="26.25" customHeight="1" x14ac:dyDescent="0.4">
      <c r="A64" s="179" t="s">
        <v>95</v>
      </c>
      <c r="B64" s="180">
        <v>1</v>
      </c>
      <c r="C64" s="239" t="s">
        <v>96</v>
      </c>
      <c r="D64" s="240">
        <v>1056.17</v>
      </c>
      <c r="E64" s="241">
        <v>1</v>
      </c>
      <c r="F64" s="242"/>
      <c r="G64" s="243" t="str">
        <f>IF(ISBLANK(F64),"-",(F64/$D$50*$D$47*$B$68)*($B$57/$D$64))</f>
        <v>-</v>
      </c>
      <c r="H64" s="244" t="str">
        <f t="shared" si="0"/>
        <v>-</v>
      </c>
    </row>
    <row r="65" spans="1:8" ht="26.25" customHeight="1" x14ac:dyDescent="0.4">
      <c r="A65" s="179" t="s">
        <v>97</v>
      </c>
      <c r="B65" s="180">
        <v>1</v>
      </c>
      <c r="C65" s="245"/>
      <c r="D65" s="246"/>
      <c r="E65" s="247">
        <v>2</v>
      </c>
      <c r="F65" s="192">
        <v>39854025</v>
      </c>
      <c r="G65" s="248">
        <f>IF(ISBLANK(F65),"-",(F65/$D$50*$D$47*$B$68)*($B$57/$D$64))</f>
        <v>800.2376429877022</v>
      </c>
      <c r="H65" s="249">
        <f t="shared" si="0"/>
        <v>100.02970537346279</v>
      </c>
    </row>
    <row r="66" spans="1:8" ht="26.25" customHeight="1" x14ac:dyDescent="0.4">
      <c r="A66" s="179" t="s">
        <v>98</v>
      </c>
      <c r="B66" s="180">
        <v>1</v>
      </c>
      <c r="C66" s="245"/>
      <c r="D66" s="246"/>
      <c r="E66" s="247">
        <v>3</v>
      </c>
      <c r="F66" s="192">
        <v>40089095</v>
      </c>
      <c r="G66" s="248">
        <f>IF(ISBLANK(F66),"-",(F66/$D$50*$D$47*$B$68)*($B$57/$D$64))</f>
        <v>804.95766468531292</v>
      </c>
      <c r="H66" s="249">
        <f t="shared" si="0"/>
        <v>100.61970808566412</v>
      </c>
    </row>
    <row r="67" spans="1:8" ht="27" customHeight="1" thickBot="1" x14ac:dyDescent="0.45">
      <c r="A67" s="179" t="s">
        <v>99</v>
      </c>
      <c r="B67" s="180">
        <v>1</v>
      </c>
      <c r="C67" s="251"/>
      <c r="D67" s="252"/>
      <c r="E67" s="253">
        <v>4</v>
      </c>
      <c r="F67" s="254"/>
      <c r="G67" s="255" t="str">
        <f>IF(ISBLANK(F67),"-",(F67/$D$50*$D$47*$B$68)*($B$57/$D$64))</f>
        <v>-</v>
      </c>
      <c r="H67" s="256" t="str">
        <f t="shared" si="0"/>
        <v>-</v>
      </c>
    </row>
    <row r="68" spans="1:8" ht="26.25" customHeight="1" x14ac:dyDescent="0.4">
      <c r="A68" s="179" t="s">
        <v>100</v>
      </c>
      <c r="B68" s="257">
        <f>(B67/B66)*(B65/B64)*(B63/B62)*(B61/B60)*B59</f>
        <v>5000</v>
      </c>
      <c r="C68" s="239" t="s">
        <v>101</v>
      </c>
      <c r="D68" s="240">
        <v>1063.3599999999999</v>
      </c>
      <c r="E68" s="241">
        <v>1</v>
      </c>
      <c r="F68" s="242">
        <v>39610880</v>
      </c>
      <c r="G68" s="243">
        <f>IF(ISBLANK(F68),"-",(F68/$D$50*$D$47*$B$68)*($B$57/$D$68))</f>
        <v>789.97761718448794</v>
      </c>
      <c r="H68" s="249">
        <f t="shared" si="0"/>
        <v>98.747202148060992</v>
      </c>
    </row>
    <row r="69" spans="1:8" ht="27" customHeight="1" thickBot="1" x14ac:dyDescent="0.45">
      <c r="A69" s="230" t="s">
        <v>102</v>
      </c>
      <c r="B69" s="258">
        <f>(D47*B68)/B56*B57</f>
        <v>1053.106</v>
      </c>
      <c r="C69" s="245"/>
      <c r="D69" s="246"/>
      <c r="E69" s="247">
        <v>2</v>
      </c>
      <c r="F69" s="192">
        <v>39638763</v>
      </c>
      <c r="G69" s="248">
        <f>IF(ISBLANK(F69),"-",(F69/$D$50*$D$47*$B$68)*($B$57/$D$68))</f>
        <v>790.53370040960067</v>
      </c>
      <c r="H69" s="249">
        <f t="shared" si="0"/>
        <v>98.816712551200084</v>
      </c>
    </row>
    <row r="70" spans="1:8" ht="26.25" customHeight="1" x14ac:dyDescent="0.4">
      <c r="A70" s="259" t="s">
        <v>75</v>
      </c>
      <c r="B70" s="260"/>
      <c r="C70" s="245"/>
      <c r="D70" s="246"/>
      <c r="E70" s="247">
        <v>3</v>
      </c>
      <c r="F70" s="192">
        <v>39380048</v>
      </c>
      <c r="G70" s="248">
        <f>IF(ISBLANK(F70),"-",(F70/$D$50*$D$47*$B$68)*($B$57/$D$68))</f>
        <v>785.37403066154457</v>
      </c>
      <c r="H70" s="249">
        <f t="shared" si="0"/>
        <v>98.171753832693071</v>
      </c>
    </row>
    <row r="71" spans="1:8" ht="27" customHeight="1" thickBot="1" x14ac:dyDescent="0.45">
      <c r="A71" s="261"/>
      <c r="B71" s="262"/>
      <c r="C71" s="263"/>
      <c r="D71" s="252"/>
      <c r="E71" s="253">
        <v>4</v>
      </c>
      <c r="F71" s="254"/>
      <c r="G71" s="255" t="str">
        <f>IF(ISBLANK(F71),"-",(F71/$D$50*$D$47*$B$68)*($B$57/$D$68))</f>
        <v>-</v>
      </c>
      <c r="H71" s="256" t="str">
        <f t="shared" si="0"/>
        <v>-</v>
      </c>
    </row>
    <row r="72" spans="1:8" ht="26.25" customHeight="1" x14ac:dyDescent="0.4">
      <c r="A72" s="210"/>
      <c r="B72" s="210"/>
      <c r="C72" s="210"/>
      <c r="D72" s="210"/>
      <c r="E72" s="210"/>
      <c r="F72" s="264" t="s">
        <v>68</v>
      </c>
      <c r="G72" s="265">
        <f>AVERAGE(G60:G71)</f>
        <v>792.88867008088334</v>
      </c>
      <c r="H72" s="266">
        <f>AVERAGE(H60:H71)</f>
        <v>99.111083760110418</v>
      </c>
    </row>
    <row r="73" spans="1:8" ht="26.25" customHeight="1" x14ac:dyDescent="0.4">
      <c r="C73" s="210"/>
      <c r="D73" s="210"/>
      <c r="E73" s="210"/>
      <c r="F73" s="267" t="s">
        <v>81</v>
      </c>
      <c r="G73" s="268">
        <f>STDEV(G60:G71)/G72</f>
        <v>8.093850608288088E-3</v>
      </c>
      <c r="H73" s="268">
        <f>STDEV(H60:H71)/H72</f>
        <v>8.0938506082881105E-3</v>
      </c>
    </row>
    <row r="74" spans="1:8" ht="27" customHeight="1" thickBot="1" x14ac:dyDescent="0.45">
      <c r="A74" s="210"/>
      <c r="B74" s="210"/>
      <c r="C74" s="210"/>
      <c r="D74" s="210"/>
      <c r="E74" s="212"/>
      <c r="F74" s="269" t="s">
        <v>20</v>
      </c>
      <c r="G74" s="270">
        <f>COUNT(G60:G71)</f>
        <v>8</v>
      </c>
      <c r="H74" s="270">
        <f>COUNT(H60:H71)</f>
        <v>8</v>
      </c>
    </row>
    <row r="76" spans="1:8" ht="26.25" customHeight="1" x14ac:dyDescent="0.4">
      <c r="A76" s="152" t="s">
        <v>103</v>
      </c>
      <c r="B76" s="153" t="s">
        <v>104</v>
      </c>
      <c r="C76" s="271" t="str">
        <f>B26</f>
        <v>Sulfamethoxazole</v>
      </c>
      <c r="D76" s="271"/>
      <c r="E76" s="135" t="s">
        <v>105</v>
      </c>
      <c r="F76" s="135"/>
      <c r="G76" s="272">
        <f>H72</f>
        <v>99.111083760110418</v>
      </c>
      <c r="H76" s="162"/>
    </row>
    <row r="77" spans="1:8" ht="18.75" x14ac:dyDescent="0.3">
      <c r="A77" s="151" t="s">
        <v>106</v>
      </c>
      <c r="B77" s="151" t="s">
        <v>107</v>
      </c>
    </row>
    <row r="78" spans="1:8" ht="18.75" x14ac:dyDescent="0.3">
      <c r="A78" s="151"/>
      <c r="B78" s="151"/>
    </row>
    <row r="79" spans="1:8" ht="26.25" customHeight="1" x14ac:dyDescent="0.4">
      <c r="A79" s="152" t="s">
        <v>4</v>
      </c>
      <c r="B79" s="273" t="str">
        <f>B26</f>
        <v>Sulfamethoxazole</v>
      </c>
      <c r="C79" s="273"/>
    </row>
    <row r="80" spans="1:8" ht="26.25" customHeight="1" x14ac:dyDescent="0.4">
      <c r="A80" s="153" t="s">
        <v>45</v>
      </c>
      <c r="B80" s="273" t="str">
        <f>B27</f>
        <v>s12-6</v>
      </c>
      <c r="C80" s="273"/>
    </row>
    <row r="81" spans="1:12" ht="27" customHeight="1" thickBot="1" x14ac:dyDescent="0.45">
      <c r="A81" s="153" t="s">
        <v>6</v>
      </c>
      <c r="B81" s="155">
        <f>B28</f>
        <v>99.02</v>
      </c>
    </row>
    <row r="82" spans="1:12" s="160" customFormat="1" ht="27" customHeight="1" thickBot="1" x14ac:dyDescent="0.45">
      <c r="A82" s="153" t="s">
        <v>46</v>
      </c>
      <c r="B82" s="156">
        <v>0</v>
      </c>
      <c r="C82" s="157" t="s">
        <v>47</v>
      </c>
      <c r="D82" s="158"/>
      <c r="E82" s="158"/>
      <c r="F82" s="158"/>
      <c r="G82" s="159"/>
      <c r="I82" s="161"/>
      <c r="J82" s="161"/>
      <c r="K82" s="161"/>
      <c r="L82" s="161"/>
    </row>
    <row r="83" spans="1:12" s="160" customFormat="1" ht="19.5" customHeight="1" thickBot="1" x14ac:dyDescent="0.35">
      <c r="A83" s="153" t="s">
        <v>48</v>
      </c>
      <c r="B83" s="162">
        <f>B81-B82</f>
        <v>99.02</v>
      </c>
      <c r="C83" s="163"/>
      <c r="D83" s="163"/>
      <c r="E83" s="163"/>
      <c r="F83" s="163"/>
      <c r="G83" s="164"/>
      <c r="I83" s="161"/>
      <c r="J83" s="161"/>
      <c r="K83" s="161"/>
      <c r="L83" s="161"/>
    </row>
    <row r="84" spans="1:12" s="160" customFormat="1" ht="27" customHeight="1" thickBot="1" x14ac:dyDescent="0.45">
      <c r="A84" s="153" t="s">
        <v>49</v>
      </c>
      <c r="B84" s="165">
        <v>1</v>
      </c>
      <c r="C84" s="166" t="s">
        <v>108</v>
      </c>
      <c r="D84" s="167"/>
      <c r="E84" s="167"/>
      <c r="F84" s="167"/>
      <c r="G84" s="167"/>
      <c r="H84" s="168"/>
      <c r="I84" s="161"/>
      <c r="J84" s="161"/>
      <c r="K84" s="161"/>
      <c r="L84" s="161"/>
    </row>
    <row r="85" spans="1:12" s="160" customFormat="1" ht="27" customHeight="1" thickBot="1" x14ac:dyDescent="0.45">
      <c r="A85" s="153" t="s">
        <v>51</v>
      </c>
      <c r="B85" s="165">
        <v>1</v>
      </c>
      <c r="C85" s="166" t="s">
        <v>109</v>
      </c>
      <c r="D85" s="167"/>
      <c r="E85" s="167"/>
      <c r="F85" s="167"/>
      <c r="G85" s="167"/>
      <c r="H85" s="168"/>
      <c r="I85" s="161"/>
      <c r="J85" s="161"/>
      <c r="K85" s="161"/>
      <c r="L85" s="161"/>
    </row>
    <row r="86" spans="1:12" s="160" customFormat="1" ht="18.75" x14ac:dyDescent="0.3">
      <c r="A86" s="153"/>
      <c r="B86" s="171"/>
      <c r="C86" s="172"/>
      <c r="D86" s="172"/>
      <c r="E86" s="172"/>
      <c r="F86" s="172"/>
      <c r="G86" s="172"/>
      <c r="H86" s="172"/>
      <c r="I86" s="161"/>
      <c r="J86" s="161"/>
      <c r="K86" s="161"/>
      <c r="L86" s="161"/>
    </row>
    <row r="87" spans="1:12" s="160" customFormat="1" ht="18.75" x14ac:dyDescent="0.3">
      <c r="A87" s="153" t="s">
        <v>53</v>
      </c>
      <c r="B87" s="173">
        <f>B84/B85</f>
        <v>1</v>
      </c>
      <c r="C87" s="135" t="s">
        <v>54</v>
      </c>
      <c r="D87" s="135"/>
      <c r="E87" s="135"/>
      <c r="F87" s="135"/>
      <c r="G87" s="135"/>
      <c r="I87" s="161"/>
      <c r="J87" s="161"/>
      <c r="K87" s="161"/>
      <c r="L87" s="161"/>
    </row>
    <row r="88" spans="1:12" ht="19.5" customHeight="1" thickBot="1" x14ac:dyDescent="0.35">
      <c r="A88" s="151"/>
      <c r="B88" s="151"/>
    </row>
    <row r="89" spans="1:12" ht="27" customHeight="1" thickBot="1" x14ac:dyDescent="0.45">
      <c r="A89" s="174" t="s">
        <v>55</v>
      </c>
      <c r="B89" s="175">
        <v>100</v>
      </c>
      <c r="D89" s="274" t="s">
        <v>56</v>
      </c>
      <c r="E89" s="275"/>
      <c r="F89" s="176" t="s">
        <v>57</v>
      </c>
      <c r="G89" s="178"/>
    </row>
    <row r="90" spans="1:12" ht="27" customHeight="1" thickBot="1" x14ac:dyDescent="0.45">
      <c r="A90" s="179" t="s">
        <v>58</v>
      </c>
      <c r="B90" s="180">
        <v>1</v>
      </c>
      <c r="C90" s="276" t="s">
        <v>59</v>
      </c>
      <c r="D90" s="182" t="s">
        <v>60</v>
      </c>
      <c r="E90" s="183" t="s">
        <v>61</v>
      </c>
      <c r="F90" s="182" t="s">
        <v>60</v>
      </c>
      <c r="G90" s="277" t="s">
        <v>61</v>
      </c>
      <c r="I90" s="185" t="s">
        <v>62</v>
      </c>
    </row>
    <row r="91" spans="1:12" ht="26.25" customHeight="1" x14ac:dyDescent="0.4">
      <c r="A91" s="179" t="s">
        <v>63</v>
      </c>
      <c r="B91" s="180">
        <v>1</v>
      </c>
      <c r="C91" s="278">
        <v>1</v>
      </c>
      <c r="D91" s="187">
        <v>41948719</v>
      </c>
      <c r="E91" s="188">
        <f>IF(ISBLANK(D91),"-",$D$101/$D$98*D91)</f>
        <v>44068796.643882692</v>
      </c>
      <c r="F91" s="187">
        <v>40123112</v>
      </c>
      <c r="G91" s="189">
        <f>IF(ISBLANK(F91),"-",$D$101/$F$98*F91)</f>
        <v>44439191.23566965</v>
      </c>
      <c r="I91" s="190"/>
    </row>
    <row r="92" spans="1:12" ht="26.25" customHeight="1" x14ac:dyDescent="0.4">
      <c r="A92" s="179" t="s">
        <v>64</v>
      </c>
      <c r="B92" s="180">
        <v>1</v>
      </c>
      <c r="C92" s="210">
        <v>2</v>
      </c>
      <c r="D92" s="192">
        <v>42096409</v>
      </c>
      <c r="E92" s="193">
        <f>IF(ISBLANK(D92),"-",$D$101/$D$98*D92)</f>
        <v>44223950.85911236</v>
      </c>
      <c r="F92" s="192">
        <v>39814884</v>
      </c>
      <c r="G92" s="194">
        <f>IF(ISBLANK(F92),"-",$D$101/$F$98*F92)</f>
        <v>44097806.872557737</v>
      </c>
      <c r="I92" s="195">
        <f>ABS((F96/D96*D95)-F95)/D95</f>
        <v>3.0466719390612497E-3</v>
      </c>
    </row>
    <row r="93" spans="1:12" ht="26.25" customHeight="1" x14ac:dyDescent="0.4">
      <c r="A93" s="179" t="s">
        <v>65</v>
      </c>
      <c r="B93" s="180">
        <v>1</v>
      </c>
      <c r="C93" s="210">
        <v>3</v>
      </c>
      <c r="D93" s="192">
        <v>41804166</v>
      </c>
      <c r="E93" s="193">
        <f>IF(ISBLANK(D93),"-",$D$101/$D$98*D93)</f>
        <v>43916937.971839257</v>
      </c>
      <c r="F93" s="192">
        <v>39814475</v>
      </c>
      <c r="G93" s="194">
        <f>IF(ISBLANK(F93),"-",$D$101/$F$98*F93)</f>
        <v>44097353.876059972</v>
      </c>
      <c r="I93" s="195"/>
    </row>
    <row r="94" spans="1:12" ht="27" customHeight="1" thickBot="1" x14ac:dyDescent="0.45">
      <c r="A94" s="179" t="s">
        <v>66</v>
      </c>
      <c r="B94" s="180">
        <v>1</v>
      </c>
      <c r="C94" s="279">
        <v>4</v>
      </c>
      <c r="D94" s="197"/>
      <c r="E94" s="198" t="str">
        <f>IF(ISBLANK(D94),"-",$D$101/$D$98*D94)</f>
        <v>-</v>
      </c>
      <c r="F94" s="280"/>
      <c r="G94" s="199" t="str">
        <f>IF(ISBLANK(F94),"-",$D$101/$F$98*F94)</f>
        <v>-</v>
      </c>
      <c r="I94" s="200"/>
    </row>
    <row r="95" spans="1:12" ht="27" customHeight="1" thickBot="1" x14ac:dyDescent="0.45">
      <c r="A95" s="179" t="s">
        <v>67</v>
      </c>
      <c r="B95" s="180">
        <v>1</v>
      </c>
      <c r="C95" s="153" t="s">
        <v>68</v>
      </c>
      <c r="D95" s="281">
        <f>AVERAGE(D91:D94)</f>
        <v>41949764.666666664</v>
      </c>
      <c r="E95" s="203">
        <f>AVERAGE(E91:E94)</f>
        <v>44069895.1582781</v>
      </c>
      <c r="F95" s="282">
        <f>AVERAGE(F91:F94)</f>
        <v>39917490.333333336</v>
      </c>
      <c r="G95" s="283">
        <f>AVERAGE(G91:G94)</f>
        <v>44211450.661429115</v>
      </c>
    </row>
    <row r="96" spans="1:12" ht="26.25" customHeight="1" x14ac:dyDescent="0.4">
      <c r="A96" s="179" t="s">
        <v>69</v>
      </c>
      <c r="B96" s="155">
        <v>1</v>
      </c>
      <c r="C96" s="284" t="s">
        <v>110</v>
      </c>
      <c r="D96" s="285">
        <v>17.09</v>
      </c>
      <c r="E96" s="135"/>
      <c r="F96" s="207">
        <v>16.21</v>
      </c>
    </row>
    <row r="97" spans="1:10" ht="26.25" customHeight="1" x14ac:dyDescent="0.4">
      <c r="A97" s="179" t="s">
        <v>71</v>
      </c>
      <c r="B97" s="155">
        <v>1</v>
      </c>
      <c r="C97" s="286" t="s">
        <v>111</v>
      </c>
      <c r="D97" s="287">
        <f>D96*$B$87</f>
        <v>17.09</v>
      </c>
      <c r="E97" s="210"/>
      <c r="F97" s="209">
        <f>F96*$B$87</f>
        <v>16.21</v>
      </c>
    </row>
    <row r="98" spans="1:10" ht="19.5" customHeight="1" thickBot="1" x14ac:dyDescent="0.35">
      <c r="A98" s="179" t="s">
        <v>73</v>
      </c>
      <c r="B98" s="210">
        <f>(B97/B96)*(B95/B94)*(B93/B92)*(B91/B90)*B89</f>
        <v>100</v>
      </c>
      <c r="C98" s="286" t="s">
        <v>112</v>
      </c>
      <c r="D98" s="288">
        <f>D97*$B$83/100</f>
        <v>16.922518</v>
      </c>
      <c r="E98" s="212"/>
      <c r="F98" s="211">
        <f>F97*$B$83/100</f>
        <v>16.051141999999999</v>
      </c>
    </row>
    <row r="99" spans="1:10" ht="19.5" customHeight="1" thickBot="1" x14ac:dyDescent="0.35">
      <c r="A99" s="213" t="s">
        <v>75</v>
      </c>
      <c r="B99" s="289"/>
      <c r="C99" s="286" t="s">
        <v>113</v>
      </c>
      <c r="D99" s="290">
        <f>D98/$B$98</f>
        <v>0.16922518</v>
      </c>
      <c r="E99" s="212"/>
      <c r="F99" s="217">
        <f>F98/$B$98</f>
        <v>0.16051141999999999</v>
      </c>
      <c r="H99" s="205"/>
    </row>
    <row r="100" spans="1:10" ht="19.5" customHeight="1" thickBot="1" x14ac:dyDescent="0.35">
      <c r="A100" s="218"/>
      <c r="B100" s="291"/>
      <c r="C100" s="286" t="s">
        <v>77</v>
      </c>
      <c r="D100" s="292">
        <f>$B$56/$B$116</f>
        <v>0.17777777777777778</v>
      </c>
      <c r="F100" s="224"/>
      <c r="G100" s="293"/>
      <c r="H100" s="205"/>
    </row>
    <row r="101" spans="1:10" ht="18.75" x14ac:dyDescent="0.3">
      <c r="C101" s="286" t="s">
        <v>78</v>
      </c>
      <c r="D101" s="287">
        <f>D100*$B$98</f>
        <v>17.777777777777779</v>
      </c>
      <c r="F101" s="224"/>
      <c r="H101" s="205"/>
    </row>
    <row r="102" spans="1:10" ht="19.5" customHeight="1" thickBot="1" x14ac:dyDescent="0.35">
      <c r="C102" s="294" t="s">
        <v>79</v>
      </c>
      <c r="D102" s="295">
        <f>D101/B34</f>
        <v>17.777777777777779</v>
      </c>
      <c r="F102" s="228"/>
      <c r="H102" s="205"/>
      <c r="J102" s="296"/>
    </row>
    <row r="103" spans="1:10" ht="18.75" x14ac:dyDescent="0.3">
      <c r="C103" s="297" t="s">
        <v>114</v>
      </c>
      <c r="D103" s="298">
        <f>AVERAGE(E91:E94,G91:G94)</f>
        <v>44140672.909853607</v>
      </c>
      <c r="F103" s="228"/>
      <c r="G103" s="293"/>
      <c r="H103" s="205"/>
      <c r="J103" s="299"/>
    </row>
    <row r="104" spans="1:10" ht="18.75" x14ac:dyDescent="0.3">
      <c r="C104" s="267" t="s">
        <v>81</v>
      </c>
      <c r="D104" s="300">
        <f>STDEV(E91:E94,G91:G94)/D103</f>
        <v>3.9886160473408408E-3</v>
      </c>
      <c r="F104" s="228"/>
      <c r="H104" s="205"/>
      <c r="J104" s="299"/>
    </row>
    <row r="105" spans="1:10" ht="19.5" customHeight="1" thickBot="1" x14ac:dyDescent="0.35">
      <c r="C105" s="269" t="s">
        <v>20</v>
      </c>
      <c r="D105" s="301">
        <f>COUNT(E91:E94,G91:G94)</f>
        <v>6</v>
      </c>
      <c r="F105" s="228"/>
      <c r="H105" s="205"/>
      <c r="J105" s="299"/>
    </row>
    <row r="106" spans="1:10" ht="19.5" customHeight="1" thickBot="1" x14ac:dyDescent="0.35">
      <c r="A106" s="232"/>
      <c r="B106" s="232"/>
      <c r="C106" s="232"/>
      <c r="D106" s="232"/>
      <c r="E106" s="232"/>
    </row>
    <row r="107" spans="1:10" ht="27" customHeight="1" thickBot="1" x14ac:dyDescent="0.45">
      <c r="A107" s="174" t="s">
        <v>115</v>
      </c>
      <c r="B107" s="175">
        <v>900</v>
      </c>
      <c r="C107" s="238" t="s">
        <v>116</v>
      </c>
      <c r="D107" s="238" t="s">
        <v>60</v>
      </c>
      <c r="E107" s="238" t="s">
        <v>117</v>
      </c>
      <c r="F107" s="302" t="s">
        <v>118</v>
      </c>
    </row>
    <row r="108" spans="1:10" ht="26.25" customHeight="1" x14ac:dyDescent="0.4">
      <c r="A108" s="179" t="s">
        <v>119</v>
      </c>
      <c r="B108" s="180">
        <v>10</v>
      </c>
      <c r="C108" s="241">
        <v>1</v>
      </c>
      <c r="D108" s="303">
        <v>38835479</v>
      </c>
      <c r="E108" s="304">
        <f t="shared" ref="E108:E113" si="1">IF(ISBLANK(D108),"-",D108/$D$103*$D$100*$B$116)</f>
        <v>703.84933332234152</v>
      </c>
      <c r="F108" s="305">
        <f t="shared" ref="F108:F113" si="2">IF(ISBLANK(D108), "-", (E108/$B$56)*100)</f>
        <v>87.98116666529269</v>
      </c>
    </row>
    <row r="109" spans="1:10" ht="26.25" customHeight="1" x14ac:dyDescent="0.4">
      <c r="A109" s="179" t="s">
        <v>92</v>
      </c>
      <c r="B109" s="180">
        <v>50</v>
      </c>
      <c r="C109" s="247">
        <v>2</v>
      </c>
      <c r="D109" s="306">
        <v>38841227</v>
      </c>
      <c r="E109" s="307">
        <f t="shared" si="1"/>
        <v>703.95350935086265</v>
      </c>
      <c r="F109" s="308">
        <f t="shared" si="2"/>
        <v>87.994188668857831</v>
      </c>
    </row>
    <row r="110" spans="1:10" ht="26.25" customHeight="1" x14ac:dyDescent="0.4">
      <c r="A110" s="179" t="s">
        <v>93</v>
      </c>
      <c r="B110" s="180">
        <v>1</v>
      </c>
      <c r="C110" s="247">
        <v>3</v>
      </c>
      <c r="D110" s="306">
        <v>39129982</v>
      </c>
      <c r="E110" s="307">
        <f t="shared" si="1"/>
        <v>709.18686862637185</v>
      </c>
      <c r="F110" s="308">
        <f t="shared" si="2"/>
        <v>88.648358578296481</v>
      </c>
    </row>
    <row r="111" spans="1:10" ht="26.25" customHeight="1" x14ac:dyDescent="0.4">
      <c r="A111" s="179" t="s">
        <v>94</v>
      </c>
      <c r="B111" s="180">
        <v>1</v>
      </c>
      <c r="C111" s="247">
        <v>4</v>
      </c>
      <c r="D111" s="306">
        <v>38759689</v>
      </c>
      <c r="E111" s="307">
        <f t="shared" si="1"/>
        <v>702.47572490173991</v>
      </c>
      <c r="F111" s="308">
        <f t="shared" si="2"/>
        <v>87.809465612717489</v>
      </c>
    </row>
    <row r="112" spans="1:10" ht="26.25" customHeight="1" x14ac:dyDescent="0.4">
      <c r="A112" s="179" t="s">
        <v>95</v>
      </c>
      <c r="B112" s="180">
        <v>1</v>
      </c>
      <c r="C112" s="247">
        <v>5</v>
      </c>
      <c r="D112" s="306">
        <v>39177799</v>
      </c>
      <c r="E112" s="307">
        <f t="shared" si="1"/>
        <v>710.05349791582842</v>
      </c>
      <c r="F112" s="308">
        <f t="shared" si="2"/>
        <v>88.756687239478552</v>
      </c>
    </row>
    <row r="113" spans="1:10" ht="27" customHeight="1" thickBot="1" x14ac:dyDescent="0.45">
      <c r="A113" s="179" t="s">
        <v>97</v>
      </c>
      <c r="B113" s="180">
        <v>1</v>
      </c>
      <c r="C113" s="253">
        <v>6</v>
      </c>
      <c r="D113" s="309">
        <v>38836949</v>
      </c>
      <c r="E113" s="310">
        <f t="shared" si="1"/>
        <v>703.87597541731816</v>
      </c>
      <c r="F113" s="311">
        <f t="shared" si="2"/>
        <v>87.98449692716477</v>
      </c>
    </row>
    <row r="114" spans="1:10" ht="27" customHeight="1" thickBot="1" x14ac:dyDescent="0.45">
      <c r="A114" s="179" t="s">
        <v>98</v>
      </c>
      <c r="B114" s="180">
        <v>1</v>
      </c>
      <c r="C114" s="312"/>
      <c r="D114" s="210"/>
      <c r="E114" s="135"/>
      <c r="F114" s="308"/>
    </row>
    <row r="115" spans="1:10" ht="26.25" customHeight="1" x14ac:dyDescent="0.4">
      <c r="A115" s="179" t="s">
        <v>99</v>
      </c>
      <c r="B115" s="180">
        <v>1</v>
      </c>
      <c r="C115" s="312"/>
      <c r="D115" s="313" t="s">
        <v>68</v>
      </c>
      <c r="E115" s="314">
        <f>AVERAGE(E108:E113)</f>
        <v>705.56581825574369</v>
      </c>
      <c r="F115" s="315">
        <f>AVERAGE(F108:F113)</f>
        <v>88.195727281967962</v>
      </c>
    </row>
    <row r="116" spans="1:10" ht="27" customHeight="1" thickBot="1" x14ac:dyDescent="0.45">
      <c r="A116" s="179" t="s">
        <v>100</v>
      </c>
      <c r="B116" s="191">
        <f>(B115/B114)*(B113/B112)*(B111/B110)*(B109/B108)*B107</f>
        <v>4500</v>
      </c>
      <c r="C116" s="316"/>
      <c r="D116" s="317" t="s">
        <v>81</v>
      </c>
      <c r="E116" s="268">
        <f>STDEV(E108:E113)/E115</f>
        <v>4.5354282577951526E-3</v>
      </c>
      <c r="F116" s="318">
        <f>STDEV(F108:F113)/F115</f>
        <v>4.5354282577951526E-3</v>
      </c>
      <c r="I116" s="135"/>
    </row>
    <row r="117" spans="1:10" ht="27" customHeight="1" thickBot="1" x14ac:dyDescent="0.45">
      <c r="A117" s="213" t="s">
        <v>75</v>
      </c>
      <c r="B117" s="214"/>
      <c r="C117" s="319"/>
      <c r="D117" s="269" t="s">
        <v>20</v>
      </c>
      <c r="E117" s="320">
        <f>COUNT(E108:E113)</f>
        <v>6</v>
      </c>
      <c r="F117" s="321">
        <f>COUNT(F108:F113)</f>
        <v>6</v>
      </c>
      <c r="I117" s="135"/>
      <c r="J117" s="299"/>
    </row>
    <row r="118" spans="1:10" ht="26.25" customHeight="1" thickBot="1" x14ac:dyDescent="0.35">
      <c r="A118" s="218"/>
      <c r="B118" s="219"/>
      <c r="C118" s="135"/>
      <c r="D118" s="322"/>
      <c r="E118" s="323" t="s">
        <v>120</v>
      </c>
      <c r="F118" s="324"/>
      <c r="G118" s="135"/>
      <c r="H118" s="135"/>
      <c r="I118" s="135"/>
    </row>
    <row r="119" spans="1:10" ht="25.5" customHeight="1" x14ac:dyDescent="0.4">
      <c r="A119" s="325"/>
      <c r="B119" s="172"/>
      <c r="C119" s="135"/>
      <c r="D119" s="317" t="s">
        <v>121</v>
      </c>
      <c r="E119" s="326">
        <f>MIN(E108:E113)</f>
        <v>702.47572490173991</v>
      </c>
      <c r="F119" s="327">
        <f>MIN(F108:F113)</f>
        <v>87.809465612717489</v>
      </c>
      <c r="G119" s="135"/>
      <c r="H119" s="135"/>
      <c r="I119" s="135"/>
    </row>
    <row r="120" spans="1:10" ht="24" customHeight="1" thickBot="1" x14ac:dyDescent="0.45">
      <c r="A120" s="325"/>
      <c r="B120" s="172"/>
      <c r="C120" s="135"/>
      <c r="D120" s="225" t="s">
        <v>122</v>
      </c>
      <c r="E120" s="328">
        <f>MAX(E108:E113)</f>
        <v>710.05349791582842</v>
      </c>
      <c r="F120" s="329">
        <f>MAX(F108:F113)</f>
        <v>88.756687239478552</v>
      </c>
      <c r="G120" s="135"/>
      <c r="H120" s="135"/>
      <c r="I120" s="135"/>
    </row>
    <row r="121" spans="1:10" ht="27" customHeight="1" x14ac:dyDescent="0.3">
      <c r="A121" s="325"/>
      <c r="B121" s="172"/>
      <c r="C121" s="135"/>
      <c r="D121" s="135"/>
      <c r="E121" s="135"/>
      <c r="F121" s="210"/>
      <c r="G121" s="135"/>
      <c r="H121" s="135"/>
      <c r="I121" s="135"/>
    </row>
    <row r="122" spans="1:10" ht="25.5" customHeight="1" x14ac:dyDescent="0.3">
      <c r="A122" s="325"/>
      <c r="B122" s="172"/>
      <c r="C122" s="135"/>
      <c r="D122" s="135"/>
      <c r="E122" s="135"/>
      <c r="F122" s="210"/>
      <c r="G122" s="135"/>
      <c r="H122" s="135"/>
      <c r="I122" s="135"/>
    </row>
    <row r="123" spans="1:10" ht="18.75" x14ac:dyDescent="0.3">
      <c r="A123" s="325"/>
      <c r="B123" s="172"/>
      <c r="C123" s="135"/>
      <c r="D123" s="135"/>
      <c r="E123" s="135"/>
      <c r="F123" s="210"/>
      <c r="G123" s="135"/>
      <c r="H123" s="135"/>
      <c r="I123" s="135"/>
    </row>
    <row r="124" spans="1:10" ht="45.75" customHeight="1" x14ac:dyDescent="0.65">
      <c r="A124" s="152" t="s">
        <v>103</v>
      </c>
      <c r="B124" s="153" t="s">
        <v>123</v>
      </c>
      <c r="C124" s="271" t="str">
        <f>B26</f>
        <v>Sulfamethoxazole</v>
      </c>
      <c r="D124" s="271"/>
      <c r="E124" s="135" t="s">
        <v>124</v>
      </c>
      <c r="F124" s="135"/>
      <c r="G124" s="330">
        <f>F115</f>
        <v>88.195727281967962</v>
      </c>
      <c r="H124" s="135"/>
      <c r="I124" s="135"/>
    </row>
    <row r="125" spans="1:10" ht="45.75" customHeight="1" x14ac:dyDescent="0.65">
      <c r="A125" s="152"/>
      <c r="B125" s="153" t="s">
        <v>125</v>
      </c>
      <c r="C125" s="153" t="s">
        <v>126</v>
      </c>
      <c r="D125" s="330">
        <f>MIN(F108:F113)</f>
        <v>87.809465612717489</v>
      </c>
      <c r="E125" s="153" t="s">
        <v>127</v>
      </c>
      <c r="F125" s="330">
        <f>MAX(F108:F113)</f>
        <v>88.756687239478552</v>
      </c>
      <c r="G125" s="331"/>
      <c r="H125" s="135"/>
      <c r="I125" s="135"/>
    </row>
    <row r="126" spans="1:10" ht="19.5" customHeight="1" thickBot="1" x14ac:dyDescent="0.35">
      <c r="A126" s="332"/>
      <c r="B126" s="332"/>
      <c r="C126" s="333"/>
      <c r="D126" s="333"/>
      <c r="E126" s="333"/>
      <c r="F126" s="333"/>
      <c r="G126" s="333"/>
      <c r="H126" s="333"/>
    </row>
    <row r="127" spans="1:10" ht="18.75" x14ac:dyDescent="0.3">
      <c r="B127" s="334" t="s">
        <v>23</v>
      </c>
      <c r="C127" s="334"/>
      <c r="E127" s="276" t="s">
        <v>24</v>
      </c>
      <c r="F127" s="335"/>
      <c r="G127" s="334" t="s">
        <v>25</v>
      </c>
      <c r="H127" s="334"/>
    </row>
    <row r="128" spans="1:10" ht="69.95" customHeight="1" x14ac:dyDescent="0.3">
      <c r="A128" s="152" t="s">
        <v>26</v>
      </c>
      <c r="B128" s="336"/>
      <c r="C128" s="336"/>
      <c r="E128" s="336"/>
      <c r="F128" s="135"/>
      <c r="G128" s="336"/>
      <c r="H128" s="336"/>
    </row>
    <row r="129" spans="1:9" ht="69.95" customHeight="1" x14ac:dyDescent="0.3">
      <c r="A129" s="152" t="s">
        <v>27</v>
      </c>
      <c r="B129" s="337"/>
      <c r="C129" s="337"/>
      <c r="E129" s="337"/>
      <c r="F129" s="135"/>
      <c r="G129" s="338"/>
      <c r="H129" s="338"/>
    </row>
    <row r="130" spans="1:9" ht="18.75" x14ac:dyDescent="0.3">
      <c r="A130" s="210"/>
      <c r="B130" s="210"/>
      <c r="C130" s="210"/>
      <c r="D130" s="210"/>
      <c r="E130" s="210"/>
      <c r="F130" s="212"/>
      <c r="G130" s="210"/>
      <c r="H130" s="210"/>
      <c r="I130" s="135"/>
    </row>
    <row r="131" spans="1:9" ht="18.75" x14ac:dyDescent="0.3">
      <c r="A131" s="210"/>
      <c r="B131" s="210"/>
      <c r="C131" s="210"/>
      <c r="D131" s="210"/>
      <c r="E131" s="210"/>
      <c r="F131" s="212"/>
      <c r="G131" s="210"/>
      <c r="H131" s="210"/>
      <c r="I131" s="135"/>
    </row>
    <row r="132" spans="1:9" ht="18.75" x14ac:dyDescent="0.3">
      <c r="A132" s="210"/>
      <c r="B132" s="210"/>
      <c r="C132" s="210"/>
      <c r="D132" s="210"/>
      <c r="E132" s="210"/>
      <c r="F132" s="212"/>
      <c r="G132" s="210"/>
      <c r="H132" s="210"/>
      <c r="I132" s="135"/>
    </row>
    <row r="133" spans="1:9" ht="18.75" x14ac:dyDescent="0.3">
      <c r="A133" s="210"/>
      <c r="B133" s="210"/>
      <c r="C133" s="210"/>
      <c r="D133" s="210"/>
      <c r="E133" s="210"/>
      <c r="F133" s="212"/>
      <c r="G133" s="210"/>
      <c r="H133" s="210"/>
      <c r="I133" s="135"/>
    </row>
    <row r="134" spans="1:9" ht="18.75" x14ac:dyDescent="0.3">
      <c r="A134" s="210"/>
      <c r="B134" s="210"/>
      <c r="C134" s="210"/>
      <c r="D134" s="210"/>
      <c r="E134" s="210"/>
      <c r="F134" s="212"/>
      <c r="G134" s="210"/>
      <c r="H134" s="210"/>
      <c r="I134" s="135"/>
    </row>
    <row r="135" spans="1:9" ht="18.75" x14ac:dyDescent="0.3">
      <c r="A135" s="210"/>
      <c r="B135" s="210"/>
      <c r="C135" s="210"/>
      <c r="D135" s="210"/>
      <c r="E135" s="210"/>
      <c r="F135" s="212"/>
      <c r="G135" s="210"/>
      <c r="H135" s="210"/>
      <c r="I135" s="135"/>
    </row>
    <row r="136" spans="1:9" ht="18.75" x14ac:dyDescent="0.3">
      <c r="A136" s="210"/>
      <c r="B136" s="210"/>
      <c r="C136" s="210"/>
      <c r="D136" s="210"/>
      <c r="E136" s="210"/>
      <c r="F136" s="212"/>
      <c r="G136" s="210"/>
      <c r="H136" s="210"/>
      <c r="I136" s="135"/>
    </row>
    <row r="137" spans="1:9" ht="18.75" x14ac:dyDescent="0.3">
      <c r="A137" s="210"/>
      <c r="B137" s="210"/>
      <c r="C137" s="210"/>
      <c r="D137" s="210"/>
      <c r="E137" s="210"/>
      <c r="F137" s="212"/>
      <c r="G137" s="210"/>
      <c r="H137" s="210"/>
      <c r="I137" s="135"/>
    </row>
    <row r="138" spans="1:9" ht="18.75" x14ac:dyDescent="0.3">
      <c r="A138" s="210"/>
      <c r="B138" s="210"/>
      <c r="C138" s="210"/>
      <c r="D138" s="210"/>
      <c r="E138" s="210"/>
      <c r="F138" s="212"/>
      <c r="G138" s="210"/>
      <c r="H138" s="210"/>
      <c r="I138" s="135"/>
    </row>
    <row r="250" spans="1:1" x14ac:dyDescent="0.25">
      <c r="A250" s="133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" zoomScale="44" zoomScaleNormal="40" zoomScalePageLayoutView="44" workbookViewId="0">
      <selection activeCell="B19" sqref="B19"/>
    </sheetView>
  </sheetViews>
  <sheetFormatPr defaultColWidth="9.140625" defaultRowHeight="13.5" x14ac:dyDescent="0.25"/>
  <cols>
    <col min="1" max="1" width="55.42578125" style="340" customWidth="1"/>
    <col min="2" max="2" width="33.7109375" style="340" customWidth="1"/>
    <col min="3" max="3" width="42.28515625" style="340" customWidth="1"/>
    <col min="4" max="4" width="30.5703125" style="340" customWidth="1"/>
    <col min="5" max="5" width="39.85546875" style="340" customWidth="1"/>
    <col min="6" max="6" width="30.7109375" style="340" customWidth="1"/>
    <col min="7" max="7" width="39.85546875" style="340" customWidth="1"/>
    <col min="8" max="8" width="30" style="340" customWidth="1"/>
    <col min="9" max="9" width="30.28515625" style="340" hidden="1" customWidth="1"/>
    <col min="10" max="10" width="30.42578125" style="340" customWidth="1"/>
    <col min="11" max="11" width="21.28515625" style="340" customWidth="1"/>
    <col min="12" max="12" width="9.140625" style="340"/>
    <col min="13" max="16384" width="9.140625" style="347"/>
  </cols>
  <sheetData>
    <row r="1" spans="1:9" ht="18.75" customHeight="1" x14ac:dyDescent="0.25">
      <c r="A1" s="339" t="s">
        <v>42</v>
      </c>
      <c r="B1" s="339"/>
      <c r="C1" s="339"/>
      <c r="D1" s="339"/>
      <c r="E1" s="339"/>
      <c r="F1" s="339"/>
      <c r="G1" s="339"/>
      <c r="H1" s="339"/>
      <c r="I1" s="339"/>
    </row>
    <row r="2" spans="1:9" ht="18.75" customHeight="1" x14ac:dyDescent="0.25">
      <c r="A2" s="339"/>
      <c r="B2" s="339"/>
      <c r="C2" s="339"/>
      <c r="D2" s="339"/>
      <c r="E2" s="339"/>
      <c r="F2" s="339"/>
      <c r="G2" s="339"/>
      <c r="H2" s="339"/>
      <c r="I2" s="339"/>
    </row>
    <row r="3" spans="1:9" ht="18.75" customHeight="1" x14ac:dyDescent="0.25">
      <c r="A3" s="339"/>
      <c r="B3" s="339"/>
      <c r="C3" s="339"/>
      <c r="D3" s="339"/>
      <c r="E3" s="339"/>
      <c r="F3" s="339"/>
      <c r="G3" s="339"/>
      <c r="H3" s="339"/>
      <c r="I3" s="339"/>
    </row>
    <row r="4" spans="1:9" ht="18.75" customHeight="1" x14ac:dyDescent="0.25">
      <c r="A4" s="339"/>
      <c r="B4" s="339"/>
      <c r="C4" s="339"/>
      <c r="D4" s="339"/>
      <c r="E4" s="339"/>
      <c r="F4" s="339"/>
      <c r="G4" s="339"/>
      <c r="H4" s="339"/>
      <c r="I4" s="339"/>
    </row>
    <row r="5" spans="1:9" ht="18.75" customHeight="1" x14ac:dyDescent="0.25">
      <c r="A5" s="339"/>
      <c r="B5" s="339"/>
      <c r="C5" s="339"/>
      <c r="D5" s="339"/>
      <c r="E5" s="339"/>
      <c r="F5" s="339"/>
      <c r="G5" s="339"/>
      <c r="H5" s="339"/>
      <c r="I5" s="339"/>
    </row>
    <row r="6" spans="1:9" ht="18.75" customHeight="1" x14ac:dyDescent="0.25">
      <c r="A6" s="339"/>
      <c r="B6" s="339"/>
      <c r="C6" s="339"/>
      <c r="D6" s="339"/>
      <c r="E6" s="339"/>
      <c r="F6" s="339"/>
      <c r="G6" s="339"/>
      <c r="H6" s="339"/>
      <c r="I6" s="339"/>
    </row>
    <row r="7" spans="1:9" ht="18.75" customHeight="1" x14ac:dyDescent="0.25">
      <c r="A7" s="339"/>
      <c r="B7" s="339"/>
      <c r="C7" s="339"/>
      <c r="D7" s="339"/>
      <c r="E7" s="339"/>
      <c r="F7" s="339"/>
      <c r="G7" s="339"/>
      <c r="H7" s="339"/>
      <c r="I7" s="339"/>
    </row>
    <row r="8" spans="1:9" x14ac:dyDescent="0.25">
      <c r="A8" s="341" t="s">
        <v>43</v>
      </c>
      <c r="B8" s="341"/>
      <c r="C8" s="341"/>
      <c r="D8" s="341"/>
      <c r="E8" s="341"/>
      <c r="F8" s="341"/>
      <c r="G8" s="341"/>
      <c r="H8" s="341"/>
      <c r="I8" s="341"/>
    </row>
    <row r="9" spans="1:9" x14ac:dyDescent="0.25">
      <c r="A9" s="341"/>
      <c r="B9" s="341"/>
      <c r="C9" s="341"/>
      <c r="D9" s="341"/>
      <c r="E9" s="341"/>
      <c r="F9" s="341"/>
      <c r="G9" s="341"/>
      <c r="H9" s="341"/>
      <c r="I9" s="341"/>
    </row>
    <row r="10" spans="1:9" x14ac:dyDescent="0.25">
      <c r="A10" s="341"/>
      <c r="B10" s="341"/>
      <c r="C10" s="341"/>
      <c r="D10" s="341"/>
      <c r="E10" s="341"/>
      <c r="F10" s="341"/>
      <c r="G10" s="341"/>
      <c r="H10" s="341"/>
      <c r="I10" s="341"/>
    </row>
    <row r="11" spans="1:9" x14ac:dyDescent="0.25">
      <c r="A11" s="341"/>
      <c r="B11" s="341"/>
      <c r="C11" s="341"/>
      <c r="D11" s="341"/>
      <c r="E11" s="341"/>
      <c r="F11" s="341"/>
      <c r="G11" s="341"/>
      <c r="H11" s="341"/>
      <c r="I11" s="341"/>
    </row>
    <row r="12" spans="1:9" x14ac:dyDescent="0.25">
      <c r="A12" s="341"/>
      <c r="B12" s="341"/>
      <c r="C12" s="341"/>
      <c r="D12" s="341"/>
      <c r="E12" s="341"/>
      <c r="F12" s="341"/>
      <c r="G12" s="341"/>
      <c r="H12" s="341"/>
      <c r="I12" s="341"/>
    </row>
    <row r="13" spans="1:9" x14ac:dyDescent="0.25">
      <c r="A13" s="341"/>
      <c r="B13" s="341"/>
      <c r="C13" s="341"/>
      <c r="D13" s="341"/>
      <c r="E13" s="341"/>
      <c r="F13" s="341"/>
      <c r="G13" s="341"/>
      <c r="H13" s="341"/>
      <c r="I13" s="341"/>
    </row>
    <row r="14" spans="1:9" x14ac:dyDescent="0.25">
      <c r="A14" s="341"/>
      <c r="B14" s="341"/>
      <c r="C14" s="341"/>
      <c r="D14" s="341"/>
      <c r="E14" s="341"/>
      <c r="F14" s="341"/>
      <c r="G14" s="341"/>
      <c r="H14" s="341"/>
      <c r="I14" s="341"/>
    </row>
    <row r="15" spans="1:9" ht="19.5" customHeight="1" thickBot="1" x14ac:dyDescent="0.35">
      <c r="A15" s="342"/>
    </row>
    <row r="16" spans="1:9" ht="19.5" customHeight="1" thickBot="1" x14ac:dyDescent="0.35">
      <c r="A16" s="343" t="s">
        <v>28</v>
      </c>
      <c r="B16" s="344"/>
      <c r="C16" s="344"/>
      <c r="D16" s="344"/>
      <c r="E16" s="344"/>
      <c r="F16" s="344"/>
      <c r="G16" s="344"/>
      <c r="H16" s="345"/>
    </row>
    <row r="17" spans="1:14" ht="20.25" customHeight="1" x14ac:dyDescent="0.25">
      <c r="A17" s="346" t="s">
        <v>44</v>
      </c>
      <c r="B17" s="346"/>
      <c r="C17" s="346"/>
      <c r="D17" s="346"/>
      <c r="E17" s="346"/>
      <c r="F17" s="346"/>
      <c r="G17" s="346"/>
      <c r="H17" s="346"/>
    </row>
    <row r="18" spans="1:14" ht="26.25" customHeight="1" x14ac:dyDescent="0.4">
      <c r="A18" s="348" t="s">
        <v>30</v>
      </c>
      <c r="B18" s="349" t="s">
        <v>143</v>
      </c>
      <c r="C18" s="349"/>
      <c r="D18" s="350"/>
      <c r="E18" s="351"/>
      <c r="F18" s="352"/>
      <c r="G18" s="352"/>
      <c r="H18" s="352"/>
    </row>
    <row r="19" spans="1:14" ht="26.25" customHeight="1" x14ac:dyDescent="0.4">
      <c r="A19" s="348" t="s">
        <v>31</v>
      </c>
      <c r="B19" s="353" t="s">
        <v>7</v>
      </c>
      <c r="C19" s="352">
        <v>1</v>
      </c>
      <c r="D19" s="352"/>
      <c r="E19" s="352"/>
      <c r="F19" s="352"/>
      <c r="G19" s="352"/>
      <c r="H19" s="352"/>
    </row>
    <row r="20" spans="1:14" ht="26.25" customHeight="1" x14ac:dyDescent="0.4">
      <c r="A20" s="348" t="s">
        <v>32</v>
      </c>
      <c r="B20" s="354" t="s">
        <v>144</v>
      </c>
      <c r="C20" s="354"/>
      <c r="D20" s="352"/>
      <c r="E20" s="352"/>
      <c r="F20" s="352"/>
      <c r="G20" s="352"/>
      <c r="H20" s="352"/>
    </row>
    <row r="21" spans="1:14" ht="26.25" customHeight="1" x14ac:dyDescent="0.4">
      <c r="A21" s="348" t="s">
        <v>33</v>
      </c>
      <c r="B21" s="354" t="s">
        <v>145</v>
      </c>
      <c r="C21" s="354"/>
      <c r="D21" s="354"/>
      <c r="E21" s="354"/>
      <c r="F21" s="354"/>
      <c r="G21" s="354"/>
      <c r="H21" s="354"/>
      <c r="I21" s="355"/>
    </row>
    <row r="22" spans="1:14" ht="26.25" customHeight="1" x14ac:dyDescent="0.4">
      <c r="A22" s="348" t="s">
        <v>34</v>
      </c>
      <c r="B22" s="356" t="s">
        <v>146</v>
      </c>
      <c r="C22" s="352"/>
      <c r="D22" s="352"/>
      <c r="E22" s="352"/>
      <c r="F22" s="352"/>
      <c r="G22" s="352"/>
      <c r="H22" s="352"/>
    </row>
    <row r="23" spans="1:14" ht="26.25" customHeight="1" x14ac:dyDescent="0.4">
      <c r="A23" s="348" t="s">
        <v>35</v>
      </c>
      <c r="B23" s="356"/>
      <c r="C23" s="352"/>
      <c r="D23" s="352"/>
      <c r="E23" s="352"/>
      <c r="F23" s="352"/>
      <c r="G23" s="352"/>
      <c r="H23" s="352"/>
    </row>
    <row r="24" spans="1:14" ht="18.75" x14ac:dyDescent="0.3">
      <c r="A24" s="348"/>
      <c r="B24" s="357"/>
    </row>
    <row r="25" spans="1:14" ht="18.75" x14ac:dyDescent="0.3">
      <c r="A25" s="358" t="s">
        <v>1</v>
      </c>
      <c r="B25" s="357"/>
    </row>
    <row r="26" spans="1:14" ht="26.25" customHeight="1" x14ac:dyDescent="0.4">
      <c r="A26" s="359" t="s">
        <v>4</v>
      </c>
      <c r="B26" s="349" t="s">
        <v>129</v>
      </c>
      <c r="C26" s="349"/>
    </row>
    <row r="27" spans="1:14" ht="26.25" customHeight="1" x14ac:dyDescent="0.4">
      <c r="A27" s="360" t="s">
        <v>45</v>
      </c>
      <c r="B27" s="361" t="s">
        <v>148</v>
      </c>
      <c r="C27" s="361"/>
    </row>
    <row r="28" spans="1:14" ht="27" customHeight="1" thickBot="1" x14ac:dyDescent="0.45">
      <c r="A28" s="360" t="s">
        <v>6</v>
      </c>
      <c r="B28" s="362">
        <v>99.75</v>
      </c>
    </row>
    <row r="29" spans="1:14" s="367" customFormat="1" ht="27" customHeight="1" thickBot="1" x14ac:dyDescent="0.45">
      <c r="A29" s="360" t="s">
        <v>46</v>
      </c>
      <c r="B29" s="363">
        <v>0</v>
      </c>
      <c r="C29" s="364" t="s">
        <v>47</v>
      </c>
      <c r="D29" s="365"/>
      <c r="E29" s="365"/>
      <c r="F29" s="365"/>
      <c r="G29" s="366"/>
      <c r="I29" s="368"/>
      <c r="J29" s="368"/>
      <c r="K29" s="368"/>
      <c r="L29" s="368"/>
    </row>
    <row r="30" spans="1:14" s="367" customFormat="1" ht="19.5" customHeight="1" thickBot="1" x14ac:dyDescent="0.35">
      <c r="A30" s="360" t="s">
        <v>48</v>
      </c>
      <c r="B30" s="369">
        <f>B28-B29</f>
        <v>99.75</v>
      </c>
      <c r="C30" s="370"/>
      <c r="D30" s="370"/>
      <c r="E30" s="370"/>
      <c r="F30" s="370"/>
      <c r="G30" s="371"/>
      <c r="I30" s="368"/>
      <c r="J30" s="368"/>
      <c r="K30" s="368"/>
      <c r="L30" s="368"/>
    </row>
    <row r="31" spans="1:14" s="367" customFormat="1" ht="27" customHeight="1" thickBot="1" x14ac:dyDescent="0.45">
      <c r="A31" s="360" t="s">
        <v>49</v>
      </c>
      <c r="B31" s="372">
        <v>1</v>
      </c>
      <c r="C31" s="373" t="s">
        <v>50</v>
      </c>
      <c r="D31" s="374"/>
      <c r="E31" s="374"/>
      <c r="F31" s="374"/>
      <c r="G31" s="374"/>
      <c r="H31" s="375"/>
      <c r="I31" s="368"/>
      <c r="J31" s="368"/>
      <c r="K31" s="368"/>
      <c r="L31" s="368"/>
    </row>
    <row r="32" spans="1:14" s="367" customFormat="1" ht="27" customHeight="1" thickBot="1" x14ac:dyDescent="0.45">
      <c r="A32" s="360" t="s">
        <v>51</v>
      </c>
      <c r="B32" s="372">
        <v>1</v>
      </c>
      <c r="C32" s="373" t="s">
        <v>52</v>
      </c>
      <c r="D32" s="374"/>
      <c r="E32" s="374"/>
      <c r="F32" s="374"/>
      <c r="G32" s="374"/>
      <c r="H32" s="375"/>
      <c r="I32" s="368"/>
      <c r="J32" s="368"/>
      <c r="K32" s="368"/>
      <c r="L32" s="376"/>
      <c r="M32" s="376"/>
      <c r="N32" s="377"/>
    </row>
    <row r="33" spans="1:14" s="367" customFormat="1" ht="17.25" customHeight="1" x14ac:dyDescent="0.3">
      <c r="A33" s="360"/>
      <c r="B33" s="378"/>
      <c r="C33" s="379"/>
      <c r="D33" s="379"/>
      <c r="E33" s="379"/>
      <c r="F33" s="379"/>
      <c r="G33" s="379"/>
      <c r="H33" s="379"/>
      <c r="I33" s="368"/>
      <c r="J33" s="368"/>
      <c r="K33" s="368"/>
      <c r="L33" s="376"/>
      <c r="M33" s="376"/>
      <c r="N33" s="377"/>
    </row>
    <row r="34" spans="1:14" s="367" customFormat="1" ht="18.75" x14ac:dyDescent="0.3">
      <c r="A34" s="360" t="s">
        <v>53</v>
      </c>
      <c r="B34" s="380">
        <f>B31/B32</f>
        <v>1</v>
      </c>
      <c r="C34" s="342" t="s">
        <v>54</v>
      </c>
      <c r="D34" s="342"/>
      <c r="E34" s="342"/>
      <c r="F34" s="342"/>
      <c r="G34" s="342"/>
      <c r="I34" s="368"/>
      <c r="J34" s="368"/>
      <c r="K34" s="368"/>
      <c r="L34" s="376"/>
      <c r="M34" s="376"/>
      <c r="N34" s="377"/>
    </row>
    <row r="35" spans="1:14" s="367" customFormat="1" ht="19.5" customHeight="1" thickBot="1" x14ac:dyDescent="0.35">
      <c r="A35" s="360"/>
      <c r="B35" s="369"/>
      <c r="G35" s="342"/>
      <c r="I35" s="368"/>
      <c r="J35" s="368"/>
      <c r="K35" s="368"/>
      <c r="L35" s="376"/>
      <c r="M35" s="376"/>
      <c r="N35" s="377"/>
    </row>
    <row r="36" spans="1:14" s="367" customFormat="1" ht="27" customHeight="1" thickBot="1" x14ac:dyDescent="0.45">
      <c r="A36" s="381" t="s">
        <v>55</v>
      </c>
      <c r="B36" s="382">
        <v>25</v>
      </c>
      <c r="C36" s="342"/>
      <c r="D36" s="383" t="s">
        <v>56</v>
      </c>
      <c r="E36" s="384"/>
      <c r="F36" s="383" t="s">
        <v>57</v>
      </c>
      <c r="G36" s="385"/>
      <c r="J36" s="368"/>
      <c r="K36" s="368"/>
      <c r="L36" s="376"/>
      <c r="M36" s="376"/>
      <c r="N36" s="377"/>
    </row>
    <row r="37" spans="1:14" s="367" customFormat="1" ht="27" customHeight="1" thickBot="1" x14ac:dyDescent="0.45">
      <c r="A37" s="386" t="s">
        <v>58</v>
      </c>
      <c r="B37" s="387">
        <v>4</v>
      </c>
      <c r="C37" s="388" t="s">
        <v>59</v>
      </c>
      <c r="D37" s="389" t="s">
        <v>60</v>
      </c>
      <c r="E37" s="390" t="s">
        <v>61</v>
      </c>
      <c r="F37" s="389" t="s">
        <v>60</v>
      </c>
      <c r="G37" s="391" t="s">
        <v>61</v>
      </c>
      <c r="I37" s="392" t="s">
        <v>62</v>
      </c>
      <c r="J37" s="368"/>
      <c r="K37" s="368"/>
      <c r="L37" s="376"/>
      <c r="M37" s="376"/>
      <c r="N37" s="377"/>
    </row>
    <row r="38" spans="1:14" s="367" customFormat="1" ht="26.25" customHeight="1" x14ac:dyDescent="0.4">
      <c r="A38" s="386" t="s">
        <v>63</v>
      </c>
      <c r="B38" s="387">
        <v>100</v>
      </c>
      <c r="C38" s="393">
        <v>1</v>
      </c>
      <c r="D38" s="394">
        <v>3504209</v>
      </c>
      <c r="E38" s="395">
        <f>IF(ISBLANK(D38),"-",$D$48/$D$45*D38)</f>
        <v>2805903.7369782282</v>
      </c>
      <c r="F38" s="394">
        <v>3377888</v>
      </c>
      <c r="G38" s="396">
        <f>IF(ISBLANK(F38),"-",$D$48/$F$45*F38)</f>
        <v>2816094.706621022</v>
      </c>
      <c r="I38" s="397"/>
      <c r="J38" s="368"/>
      <c r="K38" s="368"/>
      <c r="L38" s="376"/>
      <c r="M38" s="376"/>
      <c r="N38" s="377"/>
    </row>
    <row r="39" spans="1:14" s="367" customFormat="1" ht="26.25" customHeight="1" x14ac:dyDescent="0.4">
      <c r="A39" s="386" t="s">
        <v>64</v>
      </c>
      <c r="B39" s="387">
        <v>1</v>
      </c>
      <c r="C39" s="398">
        <v>2</v>
      </c>
      <c r="D39" s="399">
        <v>3519259</v>
      </c>
      <c r="E39" s="400">
        <f>IF(ISBLANK(D39),"-",$D$48/$D$45*D39)</f>
        <v>2817954.6309864116</v>
      </c>
      <c r="F39" s="399">
        <v>3353765</v>
      </c>
      <c r="G39" s="401">
        <f>IF(ISBLANK(F39),"-",$D$48/$F$45*F39)</f>
        <v>2795983.7222995115</v>
      </c>
      <c r="I39" s="402">
        <f>ABS((F43/D43*D42)-F42)/D42</f>
        <v>1.9695777794054891E-3</v>
      </c>
      <c r="J39" s="368"/>
      <c r="K39" s="368"/>
      <c r="L39" s="376"/>
      <c r="M39" s="376"/>
      <c r="N39" s="377"/>
    </row>
    <row r="40" spans="1:14" ht="26.25" customHeight="1" x14ac:dyDescent="0.4">
      <c r="A40" s="386" t="s">
        <v>65</v>
      </c>
      <c r="B40" s="387">
        <v>1</v>
      </c>
      <c r="C40" s="398">
        <v>3</v>
      </c>
      <c r="D40" s="399">
        <v>3496641</v>
      </c>
      <c r="E40" s="400">
        <f>IF(ISBLANK(D40),"-",$D$48/$D$45*D40)</f>
        <v>2799843.858848399</v>
      </c>
      <c r="F40" s="399">
        <v>3351805</v>
      </c>
      <c r="G40" s="401">
        <f>IF(ISBLANK(F40),"-",$D$48/$F$45*F40)</f>
        <v>2794349.6996128573</v>
      </c>
      <c r="I40" s="402"/>
      <c r="L40" s="376"/>
      <c r="M40" s="376"/>
      <c r="N40" s="342"/>
    </row>
    <row r="41" spans="1:14" ht="27" customHeight="1" thickBot="1" x14ac:dyDescent="0.45">
      <c r="A41" s="386" t="s">
        <v>66</v>
      </c>
      <c r="B41" s="387">
        <v>1</v>
      </c>
      <c r="C41" s="403">
        <v>4</v>
      </c>
      <c r="D41" s="404"/>
      <c r="E41" s="405" t="str">
        <f>IF(ISBLANK(D41),"-",$D$48/$D$45*D41)</f>
        <v>-</v>
      </c>
      <c r="F41" s="404"/>
      <c r="G41" s="406" t="str">
        <f>IF(ISBLANK(F41),"-",$D$48/$F$45*F41)</f>
        <v>-</v>
      </c>
      <c r="I41" s="407"/>
      <c r="L41" s="376"/>
      <c r="M41" s="376"/>
      <c r="N41" s="342"/>
    </row>
    <row r="42" spans="1:14" ht="27" customHeight="1" thickBot="1" x14ac:dyDescent="0.45">
      <c r="A42" s="386" t="s">
        <v>67</v>
      </c>
      <c r="B42" s="387">
        <v>1</v>
      </c>
      <c r="C42" s="408" t="s">
        <v>68</v>
      </c>
      <c r="D42" s="409">
        <f>AVERAGE(D38:D41)</f>
        <v>3506703</v>
      </c>
      <c r="E42" s="410">
        <f>AVERAGE(E38:E41)</f>
        <v>2807900.7422710131</v>
      </c>
      <c r="F42" s="409">
        <f>AVERAGE(F38:F41)</f>
        <v>3361152.6666666665</v>
      </c>
      <c r="G42" s="411">
        <f>AVERAGE(G38:G41)</f>
        <v>2802142.7095111306</v>
      </c>
      <c r="H42" s="412"/>
    </row>
    <row r="43" spans="1:14" ht="26.25" customHeight="1" x14ac:dyDescent="0.4">
      <c r="A43" s="386" t="s">
        <v>69</v>
      </c>
      <c r="B43" s="387">
        <v>1</v>
      </c>
      <c r="C43" s="413" t="s">
        <v>70</v>
      </c>
      <c r="D43" s="414">
        <v>25.04</v>
      </c>
      <c r="E43" s="342"/>
      <c r="F43" s="414">
        <v>24.05</v>
      </c>
      <c r="H43" s="412"/>
    </row>
    <row r="44" spans="1:14" ht="26.25" customHeight="1" x14ac:dyDescent="0.4">
      <c r="A44" s="386" t="s">
        <v>71</v>
      </c>
      <c r="B44" s="387">
        <v>1</v>
      </c>
      <c r="C44" s="415" t="s">
        <v>72</v>
      </c>
      <c r="D44" s="416">
        <f>D43*$B$34</f>
        <v>25.04</v>
      </c>
      <c r="E44" s="417"/>
      <c r="F44" s="416">
        <f>F43*$B$34</f>
        <v>24.05</v>
      </c>
      <c r="H44" s="412"/>
    </row>
    <row r="45" spans="1:14" ht="19.5" customHeight="1" thickBot="1" x14ac:dyDescent="0.35">
      <c r="A45" s="386" t="s">
        <v>73</v>
      </c>
      <c r="B45" s="398">
        <f>(B44/B43)*(B42/B41)*(B40/B39)*(B38/B37)*B36</f>
        <v>625</v>
      </c>
      <c r="C45" s="415" t="s">
        <v>74</v>
      </c>
      <c r="D45" s="418">
        <f>D44*$B$30/100</f>
        <v>24.977399999999999</v>
      </c>
      <c r="E45" s="419"/>
      <c r="F45" s="418">
        <f>F44*$B$30/100</f>
        <v>23.989875000000001</v>
      </c>
      <c r="H45" s="412"/>
    </row>
    <row r="46" spans="1:14" ht="19.5" customHeight="1" thickBot="1" x14ac:dyDescent="0.35">
      <c r="A46" s="420" t="s">
        <v>75</v>
      </c>
      <c r="B46" s="421"/>
      <c r="C46" s="415" t="s">
        <v>76</v>
      </c>
      <c r="D46" s="422">
        <f>D45/$B$45</f>
        <v>3.996384E-2</v>
      </c>
      <c r="E46" s="423"/>
      <c r="F46" s="424">
        <f>F45/$B$45</f>
        <v>3.8383800000000003E-2</v>
      </c>
      <c r="H46" s="412"/>
    </row>
    <row r="47" spans="1:14" ht="27" customHeight="1" thickBot="1" x14ac:dyDescent="0.45">
      <c r="A47" s="425"/>
      <c r="B47" s="426"/>
      <c r="C47" s="427" t="s">
        <v>77</v>
      </c>
      <c r="D47" s="428">
        <v>3.2000000000000001E-2</v>
      </c>
      <c r="E47" s="429"/>
      <c r="F47" s="423"/>
      <c r="H47" s="412"/>
    </row>
    <row r="48" spans="1:14" ht="18.75" x14ac:dyDescent="0.3">
      <c r="C48" s="430" t="s">
        <v>78</v>
      </c>
      <c r="D48" s="418">
        <f>D47*$B$45</f>
        <v>20</v>
      </c>
      <c r="F48" s="431"/>
      <c r="H48" s="412"/>
    </row>
    <row r="49" spans="1:12" ht="19.5" customHeight="1" thickBot="1" x14ac:dyDescent="0.35">
      <c r="C49" s="432" t="s">
        <v>79</v>
      </c>
      <c r="D49" s="433">
        <f>D48/B34</f>
        <v>20</v>
      </c>
      <c r="F49" s="431"/>
      <c r="H49" s="412"/>
    </row>
    <row r="50" spans="1:12" ht="18.75" x14ac:dyDescent="0.3">
      <c r="C50" s="381" t="s">
        <v>80</v>
      </c>
      <c r="D50" s="434">
        <f>AVERAGE(E38:E41,G38:G41)</f>
        <v>2805021.7258910718</v>
      </c>
      <c r="F50" s="435"/>
      <c r="H50" s="412"/>
    </row>
    <row r="51" spans="1:12" ht="18.75" x14ac:dyDescent="0.3">
      <c r="C51" s="386" t="s">
        <v>81</v>
      </c>
      <c r="D51" s="436">
        <f>STDEV(E38:E41,G38:G41)/D50</f>
        <v>3.6112124982808566E-3</v>
      </c>
      <c r="F51" s="435"/>
      <c r="H51" s="412"/>
    </row>
    <row r="52" spans="1:12" ht="19.5" customHeight="1" thickBot="1" x14ac:dyDescent="0.35">
      <c r="C52" s="437" t="s">
        <v>20</v>
      </c>
      <c r="D52" s="438">
        <f>COUNT(E38:E41,G38:G41)</f>
        <v>6</v>
      </c>
      <c r="F52" s="435"/>
    </row>
    <row r="54" spans="1:12" ht="18.75" x14ac:dyDescent="0.3">
      <c r="A54" s="439" t="s">
        <v>1</v>
      </c>
      <c r="B54" s="440" t="s">
        <v>82</v>
      </c>
    </row>
    <row r="55" spans="1:12" ht="18.75" x14ac:dyDescent="0.3">
      <c r="A55" s="342" t="s">
        <v>83</v>
      </c>
      <c r="B55" s="441" t="str">
        <f>B21</f>
        <v>Each tablet contains: Sulphamethoxazole BP 800 mg and Trimethoprim BP 160 mg.</v>
      </c>
    </row>
    <row r="56" spans="1:12" ht="26.25" customHeight="1" x14ac:dyDescent="0.4">
      <c r="A56" s="441" t="s">
        <v>84</v>
      </c>
      <c r="B56" s="442">
        <v>160</v>
      </c>
      <c r="C56" s="342" t="str">
        <f>B20</f>
        <v>each tablets contains sulphamethoxazole 800mg Trimethoprim 160mg.</v>
      </c>
      <c r="H56" s="417"/>
    </row>
    <row r="57" spans="1:12" ht="18.75" x14ac:dyDescent="0.3">
      <c r="A57" s="441" t="s">
        <v>85</v>
      </c>
      <c r="B57" s="443">
        <f>[1]Uniformity!C46</f>
        <v>1053.106</v>
      </c>
      <c r="H57" s="417"/>
    </row>
    <row r="58" spans="1:12" ht="19.5" customHeight="1" thickBot="1" x14ac:dyDescent="0.35">
      <c r="H58" s="417"/>
    </row>
    <row r="59" spans="1:12" s="367" customFormat="1" ht="27" customHeight="1" thickBot="1" x14ac:dyDescent="0.45">
      <c r="A59" s="381" t="s">
        <v>86</v>
      </c>
      <c r="B59" s="382">
        <v>100</v>
      </c>
      <c r="C59" s="342"/>
      <c r="D59" s="444" t="s">
        <v>87</v>
      </c>
      <c r="E59" s="445" t="s">
        <v>59</v>
      </c>
      <c r="F59" s="445" t="s">
        <v>60</v>
      </c>
      <c r="G59" s="445" t="s">
        <v>88</v>
      </c>
      <c r="H59" s="388" t="s">
        <v>89</v>
      </c>
      <c r="L59" s="368"/>
    </row>
    <row r="60" spans="1:12" s="367" customFormat="1" ht="26.25" customHeight="1" x14ac:dyDescent="0.4">
      <c r="A60" s="386" t="s">
        <v>90</v>
      </c>
      <c r="B60" s="387">
        <v>2</v>
      </c>
      <c r="C60" s="446" t="s">
        <v>91</v>
      </c>
      <c r="D60" s="447">
        <f>Sulfamethoxazole!D60</f>
        <v>1046.1400000000001</v>
      </c>
      <c r="E60" s="448">
        <v>1</v>
      </c>
      <c r="F60" s="449">
        <v>2784210</v>
      </c>
      <c r="G60" s="450">
        <f>IF(ISBLANK(F60),"-",(F60/$D$50*$D$47*$B$68)*($B$57/$D$60))</f>
        <v>159.87038520923966</v>
      </c>
      <c r="H60" s="451">
        <f t="shared" ref="H60:H71" si="0">IF(ISBLANK(F60),"-",(G60/$B$56)*100)</f>
        <v>99.918990755774786</v>
      </c>
      <c r="L60" s="368"/>
    </row>
    <row r="61" spans="1:12" s="367" customFormat="1" ht="26.25" customHeight="1" x14ac:dyDescent="0.4">
      <c r="A61" s="386" t="s">
        <v>92</v>
      </c>
      <c r="B61" s="387">
        <v>100</v>
      </c>
      <c r="C61" s="452"/>
      <c r="D61" s="453"/>
      <c r="E61" s="454">
        <v>2</v>
      </c>
      <c r="F61" s="399">
        <v>2789602</v>
      </c>
      <c r="G61" s="455">
        <f>IF(ISBLANK(F61),"-",(F61/$D$50*$D$47*$B$68)*($B$57/$D$60))</f>
        <v>160.17999587691497</v>
      </c>
      <c r="H61" s="456">
        <f t="shared" si="0"/>
        <v>100.11249742307187</v>
      </c>
      <c r="L61" s="368"/>
    </row>
    <row r="62" spans="1:12" s="367" customFormat="1" ht="26.25" customHeight="1" x14ac:dyDescent="0.4">
      <c r="A62" s="386" t="s">
        <v>93</v>
      </c>
      <c r="B62" s="387">
        <v>1</v>
      </c>
      <c r="C62" s="452"/>
      <c r="D62" s="453"/>
      <c r="E62" s="454">
        <v>3</v>
      </c>
      <c r="F62" s="457">
        <v>2779669</v>
      </c>
      <c r="G62" s="455">
        <f>IF(ISBLANK(F62),"-",(F62/$D$50*$D$47*$B$68)*($B$57/$D$60))</f>
        <v>159.60963928158509</v>
      </c>
      <c r="H62" s="456">
        <f t="shared" si="0"/>
        <v>99.756024550990688</v>
      </c>
      <c r="L62" s="368"/>
    </row>
    <row r="63" spans="1:12" ht="27" customHeight="1" thickBot="1" x14ac:dyDescent="0.45">
      <c r="A63" s="386" t="s">
        <v>94</v>
      </c>
      <c r="B63" s="387">
        <v>1</v>
      </c>
      <c r="C63" s="458"/>
      <c r="D63" s="459"/>
      <c r="E63" s="460">
        <v>4</v>
      </c>
      <c r="F63" s="461"/>
      <c r="G63" s="455" t="str">
        <f>IF(ISBLANK(F63),"-",(F63/$D$50*$D$47*$B$68)*($B$57/$D$60))</f>
        <v>-</v>
      </c>
      <c r="H63" s="456" t="str">
        <f t="shared" si="0"/>
        <v>-</v>
      </c>
    </row>
    <row r="64" spans="1:12" ht="26.25" customHeight="1" x14ac:dyDescent="0.4">
      <c r="A64" s="386" t="s">
        <v>95</v>
      </c>
      <c r="B64" s="387">
        <v>1</v>
      </c>
      <c r="C64" s="446" t="s">
        <v>96</v>
      </c>
      <c r="D64" s="447">
        <f>Sulfamethoxazole!D64</f>
        <v>1056.17</v>
      </c>
      <c r="E64" s="448">
        <v>1</v>
      </c>
      <c r="F64" s="449"/>
      <c r="G64" s="450" t="str">
        <f>IF(ISBLANK(F64),"-",(F64/$D$50*$D$47*$B$68)*($B$57/$D$64))</f>
        <v>-</v>
      </c>
      <c r="H64" s="451" t="str">
        <f t="shared" si="0"/>
        <v>-</v>
      </c>
    </row>
    <row r="65" spans="1:8" ht="26.25" customHeight="1" x14ac:dyDescent="0.4">
      <c r="A65" s="386" t="s">
        <v>97</v>
      </c>
      <c r="B65" s="387">
        <v>1</v>
      </c>
      <c r="C65" s="452"/>
      <c r="D65" s="453"/>
      <c r="E65" s="454">
        <v>2</v>
      </c>
      <c r="F65" s="399">
        <v>2853123</v>
      </c>
      <c r="G65" s="455">
        <f>IF(ISBLANK(F65),"-",(F65/$D$50*$D$47*$B$68)*($B$57/$D$64))</f>
        <v>162.27159606540701</v>
      </c>
      <c r="H65" s="456">
        <f t="shared" si="0"/>
        <v>101.41974754087938</v>
      </c>
    </row>
    <row r="66" spans="1:8" ht="26.25" customHeight="1" x14ac:dyDescent="0.4">
      <c r="A66" s="386" t="s">
        <v>98</v>
      </c>
      <c r="B66" s="387">
        <v>1</v>
      </c>
      <c r="C66" s="452"/>
      <c r="D66" s="453"/>
      <c r="E66" s="454">
        <v>3</v>
      </c>
      <c r="F66" s="399">
        <v>2864718</v>
      </c>
      <c r="G66" s="455">
        <f>IF(ISBLANK(F66),"-",(F66/$D$50*$D$47*$B$68)*($B$57/$D$64))</f>
        <v>162.93106260658951</v>
      </c>
      <c r="H66" s="456">
        <f t="shared" si="0"/>
        <v>101.83191412911845</v>
      </c>
    </row>
    <row r="67" spans="1:8" ht="27" customHeight="1" thickBot="1" x14ac:dyDescent="0.45">
      <c r="A67" s="386" t="s">
        <v>99</v>
      </c>
      <c r="B67" s="387">
        <v>1</v>
      </c>
      <c r="C67" s="458"/>
      <c r="D67" s="459"/>
      <c r="E67" s="460">
        <v>4</v>
      </c>
      <c r="F67" s="461"/>
      <c r="G67" s="462" t="str">
        <f>IF(ISBLANK(F67),"-",(F67/$D$50*$D$47*$B$68)*($B$57/$D$64))</f>
        <v>-</v>
      </c>
      <c r="H67" s="463" t="str">
        <f t="shared" si="0"/>
        <v>-</v>
      </c>
    </row>
    <row r="68" spans="1:8" ht="26.25" customHeight="1" x14ac:dyDescent="0.4">
      <c r="A68" s="386" t="s">
        <v>100</v>
      </c>
      <c r="B68" s="464">
        <f>(B67/B66)*(B65/B64)*(B63/B62)*(B61/B60)*B59</f>
        <v>5000</v>
      </c>
      <c r="C68" s="446" t="s">
        <v>101</v>
      </c>
      <c r="D68" s="447">
        <f>Sulfamethoxazole!D68</f>
        <v>1063.3599999999999</v>
      </c>
      <c r="E68" s="448">
        <v>1</v>
      </c>
      <c r="F68" s="449">
        <v>2839601</v>
      </c>
      <c r="G68" s="450">
        <f>IF(ISBLANK(F68),"-",(F68/$D$50*$D$47*$B$68)*($B$57/$D$68))</f>
        <v>160.41051800622915</v>
      </c>
      <c r="H68" s="456">
        <f t="shared" si="0"/>
        <v>100.25657375389324</v>
      </c>
    </row>
    <row r="69" spans="1:8" ht="27" customHeight="1" thickBot="1" x14ac:dyDescent="0.45">
      <c r="A69" s="437" t="s">
        <v>102</v>
      </c>
      <c r="B69" s="465">
        <f>(D47*B68)/B56*B57</f>
        <v>1053.106</v>
      </c>
      <c r="C69" s="452"/>
      <c r="D69" s="453"/>
      <c r="E69" s="454">
        <v>2</v>
      </c>
      <c r="F69" s="399">
        <v>2841064</v>
      </c>
      <c r="G69" s="455">
        <f>IF(ISBLANK(F69),"-",(F69/$D$50*$D$47*$B$68)*($B$57/$D$68))</f>
        <v>160.49316362716075</v>
      </c>
      <c r="H69" s="456">
        <f t="shared" si="0"/>
        <v>100.30822726697548</v>
      </c>
    </row>
    <row r="70" spans="1:8" ht="26.25" customHeight="1" x14ac:dyDescent="0.4">
      <c r="A70" s="466" t="s">
        <v>75</v>
      </c>
      <c r="B70" s="467"/>
      <c r="C70" s="452"/>
      <c r="D70" s="453"/>
      <c r="E70" s="454">
        <v>3</v>
      </c>
      <c r="F70" s="399">
        <v>2820386</v>
      </c>
      <c r="G70" s="455">
        <f>IF(ISBLANK(F70),"-",(F70/$D$50*$D$47*$B$68)*($B$57/$D$68))</f>
        <v>159.32505279351449</v>
      </c>
      <c r="H70" s="456">
        <f t="shared" si="0"/>
        <v>99.578157995946555</v>
      </c>
    </row>
    <row r="71" spans="1:8" ht="27" customHeight="1" thickBot="1" x14ac:dyDescent="0.45">
      <c r="A71" s="468"/>
      <c r="B71" s="469"/>
      <c r="C71" s="470"/>
      <c r="D71" s="459"/>
      <c r="E71" s="460">
        <v>4</v>
      </c>
      <c r="F71" s="461"/>
      <c r="G71" s="462" t="str">
        <f>IF(ISBLANK(F71),"-",(F71/$D$50*$D$47*$B$68)*($B$57/$D$68))</f>
        <v>-</v>
      </c>
      <c r="H71" s="463" t="str">
        <f t="shared" si="0"/>
        <v>-</v>
      </c>
    </row>
    <row r="72" spans="1:8" ht="26.25" customHeight="1" x14ac:dyDescent="0.4">
      <c r="A72" s="417"/>
      <c r="B72" s="417"/>
      <c r="C72" s="417"/>
      <c r="D72" s="417"/>
      <c r="E72" s="417"/>
      <c r="F72" s="471" t="s">
        <v>68</v>
      </c>
      <c r="G72" s="472">
        <f>AVERAGE(G60:G71)</f>
        <v>160.63642668333009</v>
      </c>
      <c r="H72" s="473">
        <f>AVERAGE(H60:H71)</f>
        <v>100.39776667708129</v>
      </c>
    </row>
    <row r="73" spans="1:8" ht="26.25" customHeight="1" x14ac:dyDescent="0.4">
      <c r="C73" s="417"/>
      <c r="D73" s="417"/>
      <c r="E73" s="417"/>
      <c r="F73" s="474" t="s">
        <v>81</v>
      </c>
      <c r="G73" s="475">
        <f>STDEV(G60:G71)/G72</f>
        <v>8.0067841376700935E-3</v>
      </c>
      <c r="H73" s="475">
        <f>STDEV(H60:H71)/H72</f>
        <v>8.00678413767009E-3</v>
      </c>
    </row>
    <row r="74" spans="1:8" ht="27" customHeight="1" thickBot="1" x14ac:dyDescent="0.45">
      <c r="A74" s="417"/>
      <c r="B74" s="417"/>
      <c r="C74" s="417"/>
      <c r="D74" s="417"/>
      <c r="E74" s="419"/>
      <c r="F74" s="476" t="s">
        <v>20</v>
      </c>
      <c r="G74" s="477">
        <f>COUNT(G60:G71)</f>
        <v>8</v>
      </c>
      <c r="H74" s="477">
        <f>COUNT(H60:H71)</f>
        <v>8</v>
      </c>
    </row>
    <row r="76" spans="1:8" ht="26.25" customHeight="1" x14ac:dyDescent="0.4">
      <c r="A76" s="359" t="s">
        <v>103</v>
      </c>
      <c r="B76" s="360" t="s">
        <v>104</v>
      </c>
      <c r="C76" s="478" t="str">
        <f>B26</f>
        <v>Trimethoprim</v>
      </c>
      <c r="D76" s="478"/>
      <c r="E76" s="342" t="s">
        <v>105</v>
      </c>
      <c r="F76" s="342"/>
      <c r="G76" s="479">
        <f>H72</f>
        <v>100.39776667708129</v>
      </c>
      <c r="H76" s="369"/>
    </row>
    <row r="77" spans="1:8" ht="18.75" x14ac:dyDescent="0.3">
      <c r="A77" s="358" t="s">
        <v>106</v>
      </c>
      <c r="B77" s="358" t="s">
        <v>107</v>
      </c>
    </row>
    <row r="78" spans="1:8" ht="18.75" x14ac:dyDescent="0.3">
      <c r="A78" s="358"/>
      <c r="B78" s="358"/>
    </row>
    <row r="79" spans="1:8" ht="26.25" customHeight="1" x14ac:dyDescent="0.4">
      <c r="A79" s="359" t="s">
        <v>4</v>
      </c>
      <c r="B79" s="480" t="str">
        <f>B26</f>
        <v>Trimethoprim</v>
      </c>
      <c r="C79" s="480"/>
    </row>
    <row r="80" spans="1:8" ht="26.25" customHeight="1" x14ac:dyDescent="0.4">
      <c r="A80" s="360" t="s">
        <v>45</v>
      </c>
      <c r="B80" s="480" t="str">
        <f>B27</f>
        <v>T7-5</v>
      </c>
      <c r="C80" s="480"/>
    </row>
    <row r="81" spans="1:12" ht="27" customHeight="1" thickBot="1" x14ac:dyDescent="0.45">
      <c r="A81" s="360" t="s">
        <v>6</v>
      </c>
      <c r="B81" s="362">
        <f>B28</f>
        <v>99.75</v>
      </c>
    </row>
    <row r="82" spans="1:12" s="367" customFormat="1" ht="27" customHeight="1" thickBot="1" x14ac:dyDescent="0.45">
      <c r="A82" s="360" t="s">
        <v>46</v>
      </c>
      <c r="B82" s="363">
        <v>0</v>
      </c>
      <c r="C82" s="364" t="s">
        <v>47</v>
      </c>
      <c r="D82" s="365"/>
      <c r="E82" s="365"/>
      <c r="F82" s="365"/>
      <c r="G82" s="366"/>
      <c r="I82" s="368"/>
      <c r="J82" s="368"/>
      <c r="K82" s="368"/>
      <c r="L82" s="368"/>
    </row>
    <row r="83" spans="1:12" s="367" customFormat="1" ht="19.5" customHeight="1" thickBot="1" x14ac:dyDescent="0.35">
      <c r="A83" s="360" t="s">
        <v>48</v>
      </c>
      <c r="B83" s="369">
        <f>B81-B82</f>
        <v>99.75</v>
      </c>
      <c r="C83" s="370"/>
      <c r="D83" s="370"/>
      <c r="E83" s="370"/>
      <c r="F83" s="370"/>
      <c r="G83" s="371"/>
      <c r="I83" s="368"/>
      <c r="J83" s="368"/>
      <c r="K83" s="368"/>
      <c r="L83" s="368"/>
    </row>
    <row r="84" spans="1:12" s="367" customFormat="1" ht="27" customHeight="1" thickBot="1" x14ac:dyDescent="0.45">
      <c r="A84" s="360" t="s">
        <v>49</v>
      </c>
      <c r="B84" s="372">
        <v>1</v>
      </c>
      <c r="C84" s="373" t="s">
        <v>108</v>
      </c>
      <c r="D84" s="374"/>
      <c r="E84" s="374"/>
      <c r="F84" s="374"/>
      <c r="G84" s="374"/>
      <c r="H84" s="375"/>
      <c r="I84" s="368"/>
      <c r="J84" s="368"/>
      <c r="K84" s="368"/>
      <c r="L84" s="368"/>
    </row>
    <row r="85" spans="1:12" s="367" customFormat="1" ht="27" customHeight="1" thickBot="1" x14ac:dyDescent="0.45">
      <c r="A85" s="360" t="s">
        <v>51</v>
      </c>
      <c r="B85" s="372">
        <v>1</v>
      </c>
      <c r="C85" s="373" t="s">
        <v>109</v>
      </c>
      <c r="D85" s="374"/>
      <c r="E85" s="374"/>
      <c r="F85" s="374"/>
      <c r="G85" s="374"/>
      <c r="H85" s="375"/>
      <c r="I85" s="368"/>
      <c r="J85" s="368"/>
      <c r="K85" s="368"/>
      <c r="L85" s="368"/>
    </row>
    <row r="86" spans="1:12" s="367" customFormat="1" ht="18.75" x14ac:dyDescent="0.3">
      <c r="A86" s="360"/>
      <c r="B86" s="378"/>
      <c r="C86" s="379"/>
      <c r="D86" s="379"/>
      <c r="E86" s="379"/>
      <c r="F86" s="379"/>
      <c r="G86" s="379"/>
      <c r="H86" s="379"/>
      <c r="I86" s="368"/>
      <c r="J86" s="368"/>
      <c r="K86" s="368"/>
      <c r="L86" s="368"/>
    </row>
    <row r="87" spans="1:12" s="367" customFormat="1" ht="18.75" x14ac:dyDescent="0.3">
      <c r="A87" s="360" t="s">
        <v>53</v>
      </c>
      <c r="B87" s="380">
        <f>B84/B85</f>
        <v>1</v>
      </c>
      <c r="C87" s="342" t="s">
        <v>54</v>
      </c>
      <c r="D87" s="342"/>
      <c r="E87" s="342"/>
      <c r="F87" s="342"/>
      <c r="G87" s="342"/>
      <c r="I87" s="368"/>
      <c r="J87" s="368"/>
      <c r="K87" s="368"/>
      <c r="L87" s="368"/>
    </row>
    <row r="88" spans="1:12" ht="19.5" customHeight="1" thickBot="1" x14ac:dyDescent="0.35">
      <c r="A88" s="358"/>
      <c r="B88" s="358"/>
    </row>
    <row r="89" spans="1:12" ht="27" customHeight="1" thickBot="1" x14ac:dyDescent="0.45">
      <c r="A89" s="381" t="s">
        <v>55</v>
      </c>
      <c r="B89" s="382">
        <v>25</v>
      </c>
      <c r="D89" s="481" t="s">
        <v>56</v>
      </c>
      <c r="E89" s="482"/>
      <c r="F89" s="383" t="s">
        <v>57</v>
      </c>
      <c r="G89" s="385"/>
    </row>
    <row r="90" spans="1:12" ht="27" customHeight="1" thickBot="1" x14ac:dyDescent="0.45">
      <c r="A90" s="386" t="s">
        <v>58</v>
      </c>
      <c r="B90" s="387">
        <v>4</v>
      </c>
      <c r="C90" s="483" t="s">
        <v>59</v>
      </c>
      <c r="D90" s="389" t="s">
        <v>60</v>
      </c>
      <c r="E90" s="390" t="s">
        <v>61</v>
      </c>
      <c r="F90" s="389" t="s">
        <v>60</v>
      </c>
      <c r="G90" s="484" t="s">
        <v>61</v>
      </c>
      <c r="I90" s="392" t="s">
        <v>62</v>
      </c>
    </row>
    <row r="91" spans="1:12" ht="26.25" customHeight="1" x14ac:dyDescent="0.4">
      <c r="A91" s="386" t="s">
        <v>63</v>
      </c>
      <c r="B91" s="387">
        <v>100</v>
      </c>
      <c r="C91" s="485">
        <v>1</v>
      </c>
      <c r="D91" s="394">
        <v>3504209</v>
      </c>
      <c r="E91" s="395">
        <f>IF(ISBLANK(D91),"-",$D$101/$D$98*D91)</f>
        <v>3117670.8188646981</v>
      </c>
      <c r="F91" s="394">
        <v>3377888</v>
      </c>
      <c r="G91" s="396">
        <f>IF(ISBLANK(F91),"-",$D$101/$F$98*F91)</f>
        <v>3128994.1184678022</v>
      </c>
      <c r="I91" s="397"/>
    </row>
    <row r="92" spans="1:12" ht="26.25" customHeight="1" x14ac:dyDescent="0.4">
      <c r="A92" s="386" t="s">
        <v>64</v>
      </c>
      <c r="B92" s="387">
        <v>1</v>
      </c>
      <c r="C92" s="417">
        <v>2</v>
      </c>
      <c r="D92" s="399">
        <v>3519259</v>
      </c>
      <c r="E92" s="400">
        <f>IF(ISBLANK(D92),"-",$D$101/$D$98*D92)</f>
        <v>3131060.7010960132</v>
      </c>
      <c r="F92" s="399">
        <v>3353765</v>
      </c>
      <c r="G92" s="401">
        <f>IF(ISBLANK(F92),"-",$D$101/$F$98*F92)</f>
        <v>3106648.5803327905</v>
      </c>
      <c r="I92" s="402">
        <f>ABS((F96/D96*D95)-F95)/D95</f>
        <v>1.9695777794054891E-3</v>
      </c>
    </row>
    <row r="93" spans="1:12" ht="26.25" customHeight="1" x14ac:dyDescent="0.4">
      <c r="A93" s="386" t="s">
        <v>65</v>
      </c>
      <c r="B93" s="387">
        <v>1</v>
      </c>
      <c r="C93" s="417">
        <v>3</v>
      </c>
      <c r="D93" s="399">
        <v>3496641</v>
      </c>
      <c r="E93" s="400">
        <f>IF(ISBLANK(D93),"-",$D$101/$D$98*D93)</f>
        <v>3110937.6209426653</v>
      </c>
      <c r="F93" s="399">
        <v>3351805</v>
      </c>
      <c r="G93" s="401">
        <f>IF(ISBLANK(F93),"-",$D$101/$F$98*F93)</f>
        <v>3104832.9995698412</v>
      </c>
      <c r="I93" s="402"/>
    </row>
    <row r="94" spans="1:12" ht="27" customHeight="1" thickBot="1" x14ac:dyDescent="0.45">
      <c r="A94" s="386" t="s">
        <v>66</v>
      </c>
      <c r="B94" s="387">
        <v>1</v>
      </c>
      <c r="C94" s="486">
        <v>4</v>
      </c>
      <c r="D94" s="404"/>
      <c r="E94" s="405" t="str">
        <f>IF(ISBLANK(D94),"-",$D$101/$D$98*D94)</f>
        <v>-</v>
      </c>
      <c r="F94" s="487"/>
      <c r="G94" s="406" t="str">
        <f>IF(ISBLANK(F94),"-",$D$101/$F$98*F94)</f>
        <v>-</v>
      </c>
      <c r="I94" s="407"/>
    </row>
    <row r="95" spans="1:12" ht="27" customHeight="1" thickBot="1" x14ac:dyDescent="0.45">
      <c r="A95" s="386" t="s">
        <v>67</v>
      </c>
      <c r="B95" s="387">
        <v>1</v>
      </c>
      <c r="C95" s="360" t="s">
        <v>68</v>
      </c>
      <c r="D95" s="488">
        <f>AVERAGE(D91:D94)</f>
        <v>3506703</v>
      </c>
      <c r="E95" s="410">
        <f>AVERAGE(E91:E94)</f>
        <v>3119889.7136344588</v>
      </c>
      <c r="F95" s="489">
        <f>AVERAGE(F91:F94)</f>
        <v>3361152.6666666665</v>
      </c>
      <c r="G95" s="490">
        <f>AVERAGE(G91:G94)</f>
        <v>3113491.8994568116</v>
      </c>
    </row>
    <row r="96" spans="1:12" ht="26.25" customHeight="1" x14ac:dyDescent="0.4">
      <c r="A96" s="386" t="s">
        <v>69</v>
      </c>
      <c r="B96" s="362">
        <v>1</v>
      </c>
      <c r="C96" s="491" t="s">
        <v>110</v>
      </c>
      <c r="D96" s="492">
        <v>25.04</v>
      </c>
      <c r="E96" s="342"/>
      <c r="F96" s="414">
        <v>24.05</v>
      </c>
    </row>
    <row r="97" spans="1:10" ht="26.25" customHeight="1" x14ac:dyDescent="0.4">
      <c r="A97" s="386" t="s">
        <v>71</v>
      </c>
      <c r="B97" s="362">
        <v>1</v>
      </c>
      <c r="C97" s="493" t="s">
        <v>111</v>
      </c>
      <c r="D97" s="494">
        <f>D96*$B$87</f>
        <v>25.04</v>
      </c>
      <c r="E97" s="417"/>
      <c r="F97" s="416">
        <f>F96*$B$87</f>
        <v>24.05</v>
      </c>
    </row>
    <row r="98" spans="1:10" ht="19.5" customHeight="1" thickBot="1" x14ac:dyDescent="0.35">
      <c r="A98" s="386" t="s">
        <v>73</v>
      </c>
      <c r="B98" s="417">
        <f>(B97/B96)*(B95/B94)*(B93/B92)*(B91/B90)*B89</f>
        <v>625</v>
      </c>
      <c r="C98" s="493" t="s">
        <v>112</v>
      </c>
      <c r="D98" s="495">
        <f>D97*$B$83/100</f>
        <v>24.977399999999999</v>
      </c>
      <c r="E98" s="419"/>
      <c r="F98" s="418">
        <f>F97*$B$83/100</f>
        <v>23.989875000000001</v>
      </c>
    </row>
    <row r="99" spans="1:10" ht="19.5" customHeight="1" thickBot="1" x14ac:dyDescent="0.35">
      <c r="A99" s="420" t="s">
        <v>75</v>
      </c>
      <c r="B99" s="496"/>
      <c r="C99" s="493" t="s">
        <v>113</v>
      </c>
      <c r="D99" s="497">
        <f>D98/$B$98</f>
        <v>3.996384E-2</v>
      </c>
      <c r="E99" s="419"/>
      <c r="F99" s="424">
        <f>F98/$B$98</f>
        <v>3.8383800000000003E-2</v>
      </c>
      <c r="H99" s="412"/>
    </row>
    <row r="100" spans="1:10" ht="19.5" customHeight="1" thickBot="1" x14ac:dyDescent="0.35">
      <c r="A100" s="425"/>
      <c r="B100" s="498"/>
      <c r="C100" s="493" t="s">
        <v>77</v>
      </c>
      <c r="D100" s="499">
        <f>$B$56/$B$116</f>
        <v>3.5555555555555556E-2</v>
      </c>
      <c r="F100" s="431"/>
      <c r="G100" s="500"/>
      <c r="H100" s="412"/>
    </row>
    <row r="101" spans="1:10" ht="18.75" x14ac:dyDescent="0.3">
      <c r="C101" s="493" t="s">
        <v>78</v>
      </c>
      <c r="D101" s="494">
        <f>D100*$B$98</f>
        <v>22.222222222222221</v>
      </c>
      <c r="F101" s="431"/>
      <c r="H101" s="412"/>
    </row>
    <row r="102" spans="1:10" ht="19.5" customHeight="1" thickBot="1" x14ac:dyDescent="0.35">
      <c r="C102" s="501" t="s">
        <v>79</v>
      </c>
      <c r="D102" s="502">
        <f>D101/B34</f>
        <v>22.222222222222221</v>
      </c>
      <c r="F102" s="435"/>
      <c r="H102" s="412"/>
      <c r="J102" s="503"/>
    </row>
    <row r="103" spans="1:10" ht="18.75" x14ac:dyDescent="0.3">
      <c r="C103" s="504" t="s">
        <v>114</v>
      </c>
      <c r="D103" s="505">
        <f>AVERAGE(E91:E94,G91:G94)</f>
        <v>3116690.8065456352</v>
      </c>
      <c r="F103" s="435"/>
      <c r="G103" s="500"/>
      <c r="H103" s="412"/>
      <c r="J103" s="506"/>
    </row>
    <row r="104" spans="1:10" ht="18.75" x14ac:dyDescent="0.3">
      <c r="C104" s="474" t="s">
        <v>81</v>
      </c>
      <c r="D104" s="507">
        <f>STDEV(E91:E94,G91:G94)/D103</f>
        <v>3.6112124982809156E-3</v>
      </c>
      <c r="F104" s="435"/>
      <c r="H104" s="412"/>
      <c r="J104" s="506"/>
    </row>
    <row r="105" spans="1:10" ht="19.5" customHeight="1" thickBot="1" x14ac:dyDescent="0.35">
      <c r="C105" s="476" t="s">
        <v>20</v>
      </c>
      <c r="D105" s="508">
        <f>COUNT(E91:E94,G91:G94)</f>
        <v>6</v>
      </c>
      <c r="F105" s="435"/>
      <c r="H105" s="412"/>
      <c r="J105" s="506"/>
    </row>
    <row r="106" spans="1:10" ht="19.5" customHeight="1" thickBot="1" x14ac:dyDescent="0.35">
      <c r="A106" s="439"/>
      <c r="B106" s="439"/>
      <c r="C106" s="439"/>
      <c r="D106" s="439"/>
      <c r="E106" s="439"/>
    </row>
    <row r="107" spans="1:10" ht="27" customHeight="1" thickBot="1" x14ac:dyDescent="0.45">
      <c r="A107" s="381" t="s">
        <v>115</v>
      </c>
      <c r="B107" s="382">
        <v>900</v>
      </c>
      <c r="C107" s="445" t="s">
        <v>116</v>
      </c>
      <c r="D107" s="445" t="s">
        <v>60</v>
      </c>
      <c r="E107" s="445" t="s">
        <v>117</v>
      </c>
      <c r="F107" s="509" t="s">
        <v>118</v>
      </c>
    </row>
    <row r="108" spans="1:10" ht="26.25" customHeight="1" x14ac:dyDescent="0.4">
      <c r="A108" s="386" t="s">
        <v>119</v>
      </c>
      <c r="B108" s="387">
        <v>10</v>
      </c>
      <c r="C108" s="448">
        <v>1</v>
      </c>
      <c r="D108" s="510">
        <v>2714925</v>
      </c>
      <c r="E108" s="511">
        <f t="shared" ref="E108:E113" si="1">IF(ISBLANK(D108),"-",D108/$D$103*$D$100*$B$116)</f>
        <v>139.37474936163181</v>
      </c>
      <c r="F108" s="512">
        <f t="shared" ref="F108:F113" si="2">IF(ISBLANK(D108), "-", (E108/$B$56)*100)</f>
        <v>87.109218351019877</v>
      </c>
    </row>
    <row r="109" spans="1:10" ht="26.25" customHeight="1" x14ac:dyDescent="0.4">
      <c r="A109" s="386" t="s">
        <v>92</v>
      </c>
      <c r="B109" s="387">
        <v>50</v>
      </c>
      <c r="C109" s="454">
        <v>2</v>
      </c>
      <c r="D109" s="513">
        <v>2711259</v>
      </c>
      <c r="E109" s="514">
        <f t="shared" si="1"/>
        <v>139.18654974979734</v>
      </c>
      <c r="F109" s="515">
        <f t="shared" si="2"/>
        <v>86.991593593623335</v>
      </c>
    </row>
    <row r="110" spans="1:10" ht="26.25" customHeight="1" x14ac:dyDescent="0.4">
      <c r="A110" s="386" t="s">
        <v>93</v>
      </c>
      <c r="B110" s="387">
        <v>1</v>
      </c>
      <c r="C110" s="454">
        <v>3</v>
      </c>
      <c r="D110" s="513">
        <v>2730288</v>
      </c>
      <c r="E110" s="514">
        <f t="shared" si="1"/>
        <v>140.16343202301022</v>
      </c>
      <c r="F110" s="515">
        <f t="shared" si="2"/>
        <v>87.602145014381378</v>
      </c>
    </row>
    <row r="111" spans="1:10" ht="26.25" customHeight="1" x14ac:dyDescent="0.4">
      <c r="A111" s="386" t="s">
        <v>94</v>
      </c>
      <c r="B111" s="387">
        <v>1</v>
      </c>
      <c r="C111" s="454">
        <v>4</v>
      </c>
      <c r="D111" s="513">
        <v>2703232</v>
      </c>
      <c r="E111" s="514">
        <f t="shared" si="1"/>
        <v>138.77447165809099</v>
      </c>
      <c r="F111" s="515">
        <f t="shared" si="2"/>
        <v>86.734044786306868</v>
      </c>
    </row>
    <row r="112" spans="1:10" ht="26.25" customHeight="1" x14ac:dyDescent="0.4">
      <c r="A112" s="386" t="s">
        <v>95</v>
      </c>
      <c r="B112" s="387">
        <v>1</v>
      </c>
      <c r="C112" s="454">
        <v>5</v>
      </c>
      <c r="D112" s="513">
        <v>2725665</v>
      </c>
      <c r="E112" s="514">
        <f t="shared" si="1"/>
        <v>139.9261033799358</v>
      </c>
      <c r="F112" s="515">
        <f t="shared" si="2"/>
        <v>87.453814612459865</v>
      </c>
    </row>
    <row r="113" spans="1:10" ht="27" customHeight="1" thickBot="1" x14ac:dyDescent="0.45">
      <c r="A113" s="386" t="s">
        <v>97</v>
      </c>
      <c r="B113" s="387">
        <v>1</v>
      </c>
      <c r="C113" s="460">
        <v>6</v>
      </c>
      <c r="D113" s="516">
        <v>2700255</v>
      </c>
      <c r="E113" s="517">
        <f t="shared" si="1"/>
        <v>138.6216428952892</v>
      </c>
      <c r="F113" s="518">
        <f t="shared" si="2"/>
        <v>86.638526809555742</v>
      </c>
    </row>
    <row r="114" spans="1:10" ht="27" customHeight="1" thickBot="1" x14ac:dyDescent="0.45">
      <c r="A114" s="386" t="s">
        <v>98</v>
      </c>
      <c r="B114" s="387">
        <v>1</v>
      </c>
      <c r="C114" s="519"/>
      <c r="D114" s="417"/>
      <c r="E114" s="342"/>
      <c r="F114" s="515"/>
    </row>
    <row r="115" spans="1:10" ht="26.25" customHeight="1" x14ac:dyDescent="0.4">
      <c r="A115" s="386" t="s">
        <v>99</v>
      </c>
      <c r="B115" s="387">
        <v>1</v>
      </c>
      <c r="C115" s="519"/>
      <c r="D115" s="520" t="s">
        <v>68</v>
      </c>
      <c r="E115" s="521">
        <f>AVERAGE(E108:E113)</f>
        <v>139.34115817795922</v>
      </c>
      <c r="F115" s="522">
        <f>AVERAGE(F108:F113)</f>
        <v>87.088223861224506</v>
      </c>
    </row>
    <row r="116" spans="1:10" ht="27" customHeight="1" thickBot="1" x14ac:dyDescent="0.45">
      <c r="A116" s="386" t="s">
        <v>100</v>
      </c>
      <c r="B116" s="398">
        <f>(B115/B114)*(B113/B112)*(B111/B110)*(B109/B108)*B107</f>
        <v>4500</v>
      </c>
      <c r="C116" s="523"/>
      <c r="D116" s="524" t="s">
        <v>81</v>
      </c>
      <c r="E116" s="475">
        <f>STDEV(E108:E113)/E115</f>
        <v>4.4031574492414752E-3</v>
      </c>
      <c r="F116" s="525">
        <f>STDEV(F108:F113)/F115</f>
        <v>4.403157449241457E-3</v>
      </c>
      <c r="I116" s="342"/>
    </row>
    <row r="117" spans="1:10" ht="27" customHeight="1" thickBot="1" x14ac:dyDescent="0.45">
      <c r="A117" s="420" t="s">
        <v>75</v>
      </c>
      <c r="B117" s="421"/>
      <c r="C117" s="526"/>
      <c r="D117" s="476" t="s">
        <v>20</v>
      </c>
      <c r="E117" s="527">
        <f>COUNT(E108:E113)</f>
        <v>6</v>
      </c>
      <c r="F117" s="528">
        <f>COUNT(F108:F113)</f>
        <v>6</v>
      </c>
      <c r="I117" s="342"/>
      <c r="J117" s="506"/>
    </row>
    <row r="118" spans="1:10" ht="26.25" customHeight="1" thickBot="1" x14ac:dyDescent="0.35">
      <c r="A118" s="425"/>
      <c r="B118" s="426"/>
      <c r="C118" s="342"/>
      <c r="D118" s="529"/>
      <c r="E118" s="530" t="s">
        <v>120</v>
      </c>
      <c r="F118" s="531"/>
      <c r="G118" s="342"/>
      <c r="H118" s="342"/>
      <c r="I118" s="342"/>
    </row>
    <row r="119" spans="1:10" ht="25.5" customHeight="1" x14ac:dyDescent="0.4">
      <c r="A119" s="532"/>
      <c r="B119" s="379"/>
      <c r="C119" s="342"/>
      <c r="D119" s="524" t="s">
        <v>121</v>
      </c>
      <c r="E119" s="533">
        <f>MIN(E108:E113)</f>
        <v>138.6216428952892</v>
      </c>
      <c r="F119" s="534">
        <f>MIN(F108:F113)</f>
        <v>86.638526809555742</v>
      </c>
      <c r="G119" s="342"/>
      <c r="H119" s="342"/>
      <c r="I119" s="342"/>
    </row>
    <row r="120" spans="1:10" ht="24" customHeight="1" thickBot="1" x14ac:dyDescent="0.45">
      <c r="A120" s="532"/>
      <c r="B120" s="379"/>
      <c r="C120" s="342"/>
      <c r="D120" s="432" t="s">
        <v>122</v>
      </c>
      <c r="E120" s="535">
        <f>MAX(E108:E113)</f>
        <v>140.16343202301022</v>
      </c>
      <c r="F120" s="536">
        <f>MAX(F108:F113)</f>
        <v>87.602145014381378</v>
      </c>
      <c r="G120" s="342"/>
      <c r="H120" s="342"/>
      <c r="I120" s="342"/>
    </row>
    <row r="121" spans="1:10" ht="27" customHeight="1" x14ac:dyDescent="0.3">
      <c r="A121" s="532"/>
      <c r="B121" s="379"/>
      <c r="C121" s="342"/>
      <c r="D121" s="342"/>
      <c r="E121" s="342"/>
      <c r="F121" s="417"/>
      <c r="G121" s="342"/>
      <c r="H121" s="342"/>
      <c r="I121" s="342"/>
    </row>
    <row r="122" spans="1:10" ht="25.5" customHeight="1" x14ac:dyDescent="0.3">
      <c r="A122" s="532"/>
      <c r="B122" s="379"/>
      <c r="C122" s="342"/>
      <c r="D122" s="342"/>
      <c r="E122" s="342"/>
      <c r="F122" s="417"/>
      <c r="G122" s="342"/>
      <c r="H122" s="342"/>
      <c r="I122" s="342"/>
    </row>
    <row r="123" spans="1:10" ht="18.75" x14ac:dyDescent="0.3">
      <c r="A123" s="532"/>
      <c r="B123" s="379"/>
      <c r="C123" s="342"/>
      <c r="D123" s="342"/>
      <c r="E123" s="342"/>
      <c r="F123" s="417"/>
      <c r="G123" s="342"/>
      <c r="H123" s="342"/>
      <c r="I123" s="342"/>
    </row>
    <row r="124" spans="1:10" ht="45.75" customHeight="1" x14ac:dyDescent="0.65">
      <c r="A124" s="359" t="s">
        <v>103</v>
      </c>
      <c r="B124" s="360" t="s">
        <v>123</v>
      </c>
      <c r="C124" s="478" t="str">
        <f>B26</f>
        <v>Trimethoprim</v>
      </c>
      <c r="D124" s="478"/>
      <c r="E124" s="342" t="s">
        <v>124</v>
      </c>
      <c r="F124" s="342"/>
      <c r="G124" s="537">
        <f>F115</f>
        <v>87.088223861224506</v>
      </c>
      <c r="H124" s="342"/>
      <c r="I124" s="342"/>
    </row>
    <row r="125" spans="1:10" ht="45.75" customHeight="1" x14ac:dyDescent="0.65">
      <c r="A125" s="359"/>
      <c r="B125" s="360" t="s">
        <v>125</v>
      </c>
      <c r="C125" s="360" t="s">
        <v>126</v>
      </c>
      <c r="D125" s="537">
        <f>MIN(F108:F113)</f>
        <v>86.638526809555742</v>
      </c>
      <c r="E125" s="360" t="s">
        <v>127</v>
      </c>
      <c r="F125" s="537">
        <f>MAX(F108:F113)</f>
        <v>87.602145014381378</v>
      </c>
      <c r="G125" s="538"/>
      <c r="H125" s="342"/>
      <c r="I125" s="342"/>
    </row>
    <row r="126" spans="1:10" ht="19.5" customHeight="1" thickBot="1" x14ac:dyDescent="0.35">
      <c r="A126" s="539"/>
      <c r="B126" s="539"/>
      <c r="C126" s="540"/>
      <c r="D126" s="540"/>
      <c r="E126" s="540"/>
      <c r="F126" s="540"/>
      <c r="G126" s="540"/>
      <c r="H126" s="540"/>
    </row>
    <row r="127" spans="1:10" ht="18.75" x14ac:dyDescent="0.3">
      <c r="B127" s="541" t="s">
        <v>23</v>
      </c>
      <c r="C127" s="541"/>
      <c r="E127" s="483" t="s">
        <v>24</v>
      </c>
      <c r="F127" s="542"/>
      <c r="G127" s="541" t="s">
        <v>25</v>
      </c>
      <c r="H127" s="541"/>
    </row>
    <row r="128" spans="1:10" ht="69.95" customHeight="1" x14ac:dyDescent="0.3">
      <c r="A128" s="359" t="s">
        <v>26</v>
      </c>
      <c r="B128" s="543"/>
      <c r="C128" s="543"/>
      <c r="E128" s="543"/>
      <c r="F128" s="342"/>
      <c r="G128" s="543"/>
      <c r="H128" s="543"/>
    </row>
    <row r="129" spans="1:9" ht="69.95" customHeight="1" x14ac:dyDescent="0.3">
      <c r="A129" s="359" t="s">
        <v>27</v>
      </c>
      <c r="B129" s="544"/>
      <c r="C129" s="544"/>
      <c r="E129" s="544"/>
      <c r="F129" s="342"/>
      <c r="G129" s="545"/>
      <c r="H129" s="545"/>
    </row>
    <row r="130" spans="1:9" ht="18.75" x14ac:dyDescent="0.3">
      <c r="A130" s="417"/>
      <c r="B130" s="417"/>
      <c r="C130" s="417"/>
      <c r="D130" s="417"/>
      <c r="E130" s="417"/>
      <c r="F130" s="419"/>
      <c r="G130" s="417"/>
      <c r="H130" s="417"/>
      <c r="I130" s="342"/>
    </row>
    <row r="131" spans="1:9" ht="18.75" x14ac:dyDescent="0.3">
      <c r="A131" s="417"/>
      <c r="B131" s="417"/>
      <c r="C131" s="417"/>
      <c r="D131" s="417"/>
      <c r="E131" s="417"/>
      <c r="F131" s="419"/>
      <c r="G131" s="417"/>
      <c r="H131" s="417"/>
      <c r="I131" s="342"/>
    </row>
    <row r="132" spans="1:9" ht="18.75" x14ac:dyDescent="0.3">
      <c r="A132" s="417"/>
      <c r="B132" s="417"/>
      <c r="C132" s="417"/>
      <c r="D132" s="417"/>
      <c r="E132" s="417"/>
      <c r="F132" s="419"/>
      <c r="G132" s="417"/>
      <c r="H132" s="417"/>
      <c r="I132" s="342"/>
    </row>
    <row r="133" spans="1:9" ht="18.75" x14ac:dyDescent="0.3">
      <c r="A133" s="417"/>
      <c r="B133" s="417"/>
      <c r="C133" s="417"/>
      <c r="D133" s="417"/>
      <c r="E133" s="417"/>
      <c r="F133" s="419"/>
      <c r="G133" s="417"/>
      <c r="H133" s="417"/>
      <c r="I133" s="342"/>
    </row>
    <row r="134" spans="1:9" ht="18.75" x14ac:dyDescent="0.3">
      <c r="A134" s="417"/>
      <c r="B134" s="417"/>
      <c r="C134" s="417"/>
      <c r="D134" s="417"/>
      <c r="E134" s="417"/>
      <c r="F134" s="419"/>
      <c r="G134" s="417"/>
      <c r="H134" s="417"/>
      <c r="I134" s="342"/>
    </row>
    <row r="135" spans="1:9" ht="18.75" x14ac:dyDescent="0.3">
      <c r="A135" s="417"/>
      <c r="B135" s="417"/>
      <c r="C135" s="417"/>
      <c r="D135" s="417"/>
      <c r="E135" s="417"/>
      <c r="F135" s="419"/>
      <c r="G135" s="417"/>
      <c r="H135" s="417"/>
      <c r="I135" s="342"/>
    </row>
    <row r="136" spans="1:9" ht="18.75" x14ac:dyDescent="0.3">
      <c r="A136" s="417"/>
      <c r="B136" s="417"/>
      <c r="C136" s="417"/>
      <c r="D136" s="417"/>
      <c r="E136" s="417"/>
      <c r="F136" s="419"/>
      <c r="G136" s="417"/>
      <c r="H136" s="417"/>
      <c r="I136" s="342"/>
    </row>
    <row r="137" spans="1:9" ht="18.75" x14ac:dyDescent="0.3">
      <c r="A137" s="417"/>
      <c r="B137" s="417"/>
      <c r="C137" s="417"/>
      <c r="D137" s="417"/>
      <c r="E137" s="417"/>
      <c r="F137" s="419"/>
      <c r="G137" s="417"/>
      <c r="H137" s="417"/>
      <c r="I137" s="342"/>
    </row>
    <row r="138" spans="1:9" ht="18.75" x14ac:dyDescent="0.3">
      <c r="A138" s="417"/>
      <c r="B138" s="417"/>
      <c r="C138" s="417"/>
      <c r="D138" s="417"/>
      <c r="E138" s="417"/>
      <c r="F138" s="419"/>
      <c r="G138" s="417"/>
      <c r="H138" s="417"/>
      <c r="I138" s="342"/>
    </row>
    <row r="250" spans="1:1" x14ac:dyDescent="0.25">
      <c r="A250" s="340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F48" sqref="F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" t="s">
        <v>28</v>
      </c>
      <c r="B11" s="52"/>
      <c r="C11" s="52"/>
      <c r="D11" s="52"/>
      <c r="E11" s="52"/>
      <c r="F11" s="53"/>
      <c r="G11" s="41"/>
    </row>
    <row r="12" spans="1:7" ht="16.5" customHeight="1" x14ac:dyDescent="0.3">
      <c r="A12" s="50" t="s">
        <v>29</v>
      </c>
      <c r="B12" s="50"/>
      <c r="C12" s="50"/>
      <c r="D12" s="50"/>
      <c r="E12" s="50"/>
      <c r="F12" s="50"/>
      <c r="G12" s="40"/>
    </row>
    <row r="14" spans="1:7" ht="16.5" customHeight="1" x14ac:dyDescent="0.3">
      <c r="A14" s="55" t="s">
        <v>30</v>
      </c>
      <c r="B14" s="55"/>
      <c r="C14" s="10" t="s">
        <v>5</v>
      </c>
    </row>
    <row r="15" spans="1:7" ht="16.5" customHeight="1" x14ac:dyDescent="0.3">
      <c r="A15" s="55" t="s">
        <v>31</v>
      </c>
      <c r="B15" s="55"/>
      <c r="C15" s="10" t="s">
        <v>7</v>
      </c>
    </row>
    <row r="16" spans="1:7" ht="16.5" customHeight="1" x14ac:dyDescent="0.3">
      <c r="A16" s="55" t="s">
        <v>32</v>
      </c>
      <c r="B16" s="55"/>
      <c r="C16" s="10" t="s">
        <v>9</v>
      </c>
    </row>
    <row r="17" spans="1:5" ht="16.5" customHeight="1" x14ac:dyDescent="0.3">
      <c r="A17" s="55" t="s">
        <v>33</v>
      </c>
      <c r="B17" s="55"/>
      <c r="C17" s="10" t="s">
        <v>11</v>
      </c>
    </row>
    <row r="18" spans="1:5" ht="16.5" customHeight="1" x14ac:dyDescent="0.3">
      <c r="A18" s="55" t="s">
        <v>34</v>
      </c>
      <c r="B18" s="55"/>
      <c r="C18" s="47" t="s">
        <v>12</v>
      </c>
    </row>
    <row r="19" spans="1:5" ht="16.5" customHeight="1" x14ac:dyDescent="0.3">
      <c r="A19" s="55" t="s">
        <v>35</v>
      </c>
      <c r="B19" s="5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" t="s">
        <v>1</v>
      </c>
      <c r="B21" s="50"/>
      <c r="C21" s="9" t="s">
        <v>36</v>
      </c>
      <c r="D21" s="16"/>
    </row>
    <row r="22" spans="1:5" ht="15.75" customHeight="1" x14ac:dyDescent="0.3">
      <c r="A22" s="54"/>
      <c r="B22" s="54"/>
      <c r="C22" s="7"/>
      <c r="D22" s="54"/>
      <c r="E22" s="54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1054.07</v>
      </c>
      <c r="D24" s="37">
        <f t="shared" ref="D24:D43" si="0">(C24-$C$46)/$C$46</f>
        <v>1.3461226064050964E-3</v>
      </c>
      <c r="E24" s="3"/>
    </row>
    <row r="25" spans="1:5" ht="15.75" customHeight="1" x14ac:dyDescent="0.3">
      <c r="C25" s="45">
        <v>1052</v>
      </c>
      <c r="D25" s="38">
        <f t="shared" si="0"/>
        <v>-6.2033737613419876E-4</v>
      </c>
      <c r="E25" s="3"/>
    </row>
    <row r="26" spans="1:5" ht="15.75" customHeight="1" x14ac:dyDescent="0.3">
      <c r="C26" s="45">
        <v>1047.8699999999999</v>
      </c>
      <c r="D26" s="38">
        <f t="shared" si="0"/>
        <v>-4.54375753453408E-3</v>
      </c>
      <c r="E26" s="3"/>
    </row>
    <row r="27" spans="1:5" ht="15.75" customHeight="1" x14ac:dyDescent="0.3">
      <c r="C27" s="45">
        <v>1057.03</v>
      </c>
      <c r="D27" s="38">
        <f t="shared" si="0"/>
        <v>4.1580653833696206E-3</v>
      </c>
      <c r="E27" s="3"/>
    </row>
    <row r="28" spans="1:5" ht="15.75" customHeight="1" x14ac:dyDescent="0.3">
      <c r="C28" s="45">
        <v>1060.92</v>
      </c>
      <c r="D28" s="38">
        <f t="shared" si="0"/>
        <v>7.853490181475074E-3</v>
      </c>
      <c r="E28" s="3"/>
    </row>
    <row r="29" spans="1:5" ht="15.75" customHeight="1" x14ac:dyDescent="0.3">
      <c r="C29" s="45">
        <v>1054.9000000000001</v>
      </c>
      <c r="D29" s="38">
        <f t="shared" si="0"/>
        <v>2.1346065607567724E-3</v>
      </c>
      <c r="E29" s="3"/>
    </row>
    <row r="30" spans="1:5" ht="15.75" customHeight="1" x14ac:dyDescent="0.3">
      <c r="C30" s="45">
        <v>1053.47</v>
      </c>
      <c r="D30" s="38">
        <f t="shared" si="0"/>
        <v>7.7613420566913769E-4</v>
      </c>
      <c r="E30" s="3"/>
    </row>
    <row r="31" spans="1:5" ht="15.75" customHeight="1" x14ac:dyDescent="0.3">
      <c r="C31" s="45">
        <v>1055.5</v>
      </c>
      <c r="D31" s="38">
        <f t="shared" si="0"/>
        <v>2.7045949614927312E-3</v>
      </c>
      <c r="E31" s="3"/>
    </row>
    <row r="32" spans="1:5" ht="15.75" customHeight="1" x14ac:dyDescent="0.3">
      <c r="C32" s="45">
        <v>1044.31</v>
      </c>
      <c r="D32" s="38">
        <f t="shared" si="0"/>
        <v>-7.9256887122345632E-3</v>
      </c>
      <c r="E32" s="3"/>
    </row>
    <row r="33" spans="1:7" ht="15.75" customHeight="1" x14ac:dyDescent="0.3">
      <c r="C33" s="45">
        <v>1054.76</v>
      </c>
      <c r="D33" s="38">
        <f t="shared" si="0"/>
        <v>2.0016092672516003E-3</v>
      </c>
      <c r="E33" s="3"/>
    </row>
    <row r="34" spans="1:7" ht="15.75" customHeight="1" x14ac:dyDescent="0.3">
      <c r="C34" s="45">
        <v>1048.4000000000001</v>
      </c>
      <c r="D34" s="38">
        <f t="shared" si="0"/>
        <v>-4.0402677805503832E-3</v>
      </c>
      <c r="E34" s="3"/>
    </row>
    <row r="35" spans="1:7" ht="15.75" customHeight="1" x14ac:dyDescent="0.3">
      <c r="C35" s="45">
        <v>1059.58</v>
      </c>
      <c r="D35" s="38">
        <f t="shared" si="0"/>
        <v>6.5805160864977688E-3</v>
      </c>
      <c r="E35" s="3"/>
    </row>
    <row r="36" spans="1:7" ht="15.75" customHeight="1" x14ac:dyDescent="0.3">
      <c r="C36" s="45">
        <v>1048.72</v>
      </c>
      <c r="D36" s="38">
        <f t="shared" si="0"/>
        <v>-3.7362739668245527E-3</v>
      </c>
      <c r="E36" s="3"/>
    </row>
    <row r="37" spans="1:7" ht="15.75" customHeight="1" x14ac:dyDescent="0.3">
      <c r="C37" s="45">
        <v>1056.1199999999999</v>
      </c>
      <c r="D37" s="38">
        <f t="shared" si="0"/>
        <v>3.2935829755865406E-3</v>
      </c>
      <c r="E37" s="3"/>
    </row>
    <row r="38" spans="1:7" ht="15.75" customHeight="1" x14ac:dyDescent="0.3">
      <c r="C38" s="45">
        <v>1048.18</v>
      </c>
      <c r="D38" s="38">
        <f t="shared" si="0"/>
        <v>-4.2492635274869591E-3</v>
      </c>
      <c r="E38" s="3"/>
    </row>
    <row r="39" spans="1:7" ht="15.75" customHeight="1" x14ac:dyDescent="0.3">
      <c r="C39" s="45">
        <v>1045.8699999999999</v>
      </c>
      <c r="D39" s="38">
        <f t="shared" si="0"/>
        <v>-6.4437188703208971E-3</v>
      </c>
      <c r="E39" s="3"/>
    </row>
    <row r="40" spans="1:7" ht="15.75" customHeight="1" x14ac:dyDescent="0.3">
      <c r="C40" s="45">
        <v>1053.3900000000001</v>
      </c>
      <c r="D40" s="38">
        <f t="shared" si="0"/>
        <v>7.0013575223773418E-4</v>
      </c>
      <c r="E40" s="3"/>
    </row>
    <row r="41" spans="1:7" ht="15.75" customHeight="1" x14ac:dyDescent="0.3">
      <c r="C41" s="45">
        <v>1054.71</v>
      </c>
      <c r="D41" s="38">
        <f t="shared" si="0"/>
        <v>1.9541102338569731E-3</v>
      </c>
      <c r="E41" s="3"/>
    </row>
    <row r="42" spans="1:7" ht="15.75" customHeight="1" x14ac:dyDescent="0.3">
      <c r="C42" s="45">
        <v>1054.6600000000001</v>
      </c>
      <c r="D42" s="38">
        <f t="shared" si="0"/>
        <v>1.9066112004623456E-3</v>
      </c>
      <c r="E42" s="3"/>
    </row>
    <row r="43" spans="1:7" ht="16.5" customHeight="1" x14ac:dyDescent="0.3">
      <c r="C43" s="46">
        <v>1048.5999999999999</v>
      </c>
      <c r="D43" s="39">
        <f t="shared" si="0"/>
        <v>-3.8502716469718742E-3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21053.059999999994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1052.6529999999998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48">
        <f>C46</f>
        <v>1052.6529999999998</v>
      </c>
      <c r="C49" s="43">
        <f>-IF(C46&lt;=80,10%,IF(C46&lt;250,7.5%,5%))</f>
        <v>-0.05</v>
      </c>
      <c r="D49" s="31">
        <f>IF(C46&lt;=80,C46*0.9,IF(C46&lt;250,C46*0.925,C46*0.95))</f>
        <v>1000.0203499999998</v>
      </c>
    </row>
    <row r="50" spans="1:6" ht="17.25" customHeight="1" x14ac:dyDescent="0.3">
      <c r="B50" s="49"/>
      <c r="C50" s="44">
        <f>IF(C46&lt;=80, 10%, IF(C46&lt;250, 7.5%, 5%))</f>
        <v>0.05</v>
      </c>
      <c r="D50" s="31">
        <f>IF(C46&lt;=80, C46*1.1, IF(C46&lt;250, C46*1.075, C46*1.05))</f>
        <v>1105.2856499999998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 TRIM SST</vt:lpstr>
      <vt:lpstr>SULFS SST</vt:lpstr>
      <vt:lpstr>Sulfamethoxazole</vt:lpstr>
      <vt:lpstr>Trimethoprim</vt:lpstr>
      <vt:lpstr>Uniformity</vt:lpstr>
      <vt:lpstr>' TRIM SST'!Print_Area</vt:lpstr>
      <vt:lpstr>'SULFS SST'!Print_Area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2018-06-12T07:17:03Z</cp:lastPrinted>
  <dcterms:created xsi:type="dcterms:W3CDTF">2005-07-05T10:19:27Z</dcterms:created>
  <dcterms:modified xsi:type="dcterms:W3CDTF">2018-06-12T07:53:27Z</dcterms:modified>
</cp:coreProperties>
</file>