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/>
  </bookViews>
  <sheets>
    <sheet name="SST Dolutegravir" sheetId="6" r:id="rId1"/>
    <sheet name="SST TDF" sheetId="1" r:id="rId2"/>
    <sheet name="SST Lamivudine" sheetId="7" r:id="rId3"/>
    <sheet name="Uniformity" sheetId="2" r:id="rId4"/>
    <sheet name="Lamivudine" sheetId="3" r:id="rId5"/>
    <sheet name="TDF" sheetId="4" r:id="rId6"/>
    <sheet name="Dolutegravir" sheetId="5" r:id="rId7"/>
  </sheets>
  <definedNames>
    <definedName name="_xlnm.Print_Area" localSheetId="6">Dolutegravir!$A$1:$I$131</definedName>
    <definedName name="_xlnm.Print_Area" localSheetId="4">Lamivudine!$A$1:$I$131</definedName>
    <definedName name="_xlnm.Print_Area" localSheetId="0">'SST Dolutegravir'!$A$15:$G$63</definedName>
    <definedName name="_xlnm.Print_Area" localSheetId="2">'SST Lamivudine'!$A$15:$G$63</definedName>
    <definedName name="_xlnm.Print_Area" localSheetId="1">'SST TDF'!$A$15:$G$62</definedName>
    <definedName name="_xlnm.Print_Area" localSheetId="5">TDF!$A$1:$I$131</definedName>
    <definedName name="_xlnm.Print_Area" localSheetId="3">Uniformity!$A$12:$L$56</definedName>
  </definedNames>
  <calcPr calcId="145621"/>
</workbook>
</file>

<file path=xl/calcChain.xml><?xml version="1.0" encoding="utf-8"?>
<calcChain xmlns="http://schemas.openxmlformats.org/spreadsheetml/2006/main">
  <c r="B42" i="7" l="1"/>
  <c r="B42" i="1"/>
  <c r="B42" i="6"/>
  <c r="B21" i="6"/>
  <c r="B53" i="7"/>
  <c r="E51" i="7"/>
  <c r="D51" i="7"/>
  <c r="C51" i="7"/>
  <c r="B51" i="7"/>
  <c r="B52" i="7" s="1"/>
  <c r="B32" i="7"/>
  <c r="E30" i="7"/>
  <c r="D30" i="7"/>
  <c r="C30" i="7"/>
  <c r="B30" i="7"/>
  <c r="B31" i="7" s="1"/>
  <c r="B21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1"/>
  <c r="C124" i="5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I39" i="5"/>
  <c r="B34" i="5"/>
  <c r="D44" i="5" s="1"/>
  <c r="B30" i="5"/>
  <c r="C124" i="4"/>
  <c r="B116" i="4"/>
  <c r="D100" i="4"/>
  <c r="B98" i="4"/>
  <c r="D101" i="4" s="1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I39" i="4" s="1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D44" i="3" s="1"/>
  <c r="B30" i="3"/>
  <c r="C46" i="2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5" l="1"/>
  <c r="D101" i="5"/>
  <c r="D102" i="5" s="1"/>
  <c r="F44" i="5"/>
  <c r="F45" i="5" s="1"/>
  <c r="G38" i="5" s="1"/>
  <c r="D45" i="5"/>
  <c r="E38" i="5" s="1"/>
  <c r="D49" i="4"/>
  <c r="F44" i="4"/>
  <c r="F45" i="4" s="1"/>
  <c r="F46" i="4" s="1"/>
  <c r="D45" i="4"/>
  <c r="E38" i="4" s="1"/>
  <c r="D101" i="3"/>
  <c r="D102" i="3" s="1"/>
  <c r="I92" i="3"/>
  <c r="F44" i="3"/>
  <c r="F45" i="3" s="1"/>
  <c r="G38" i="3" s="1"/>
  <c r="D45" i="3"/>
  <c r="D46" i="3" s="1"/>
  <c r="B57" i="5"/>
  <c r="B57" i="3"/>
  <c r="D49" i="2"/>
  <c r="B57" i="4"/>
  <c r="D50" i="2"/>
  <c r="B49" i="2"/>
  <c r="D42" i="2"/>
  <c r="D38" i="2"/>
  <c r="D27" i="2"/>
  <c r="D31" i="2"/>
  <c r="D35" i="2"/>
  <c r="B69" i="4"/>
  <c r="D102" i="4"/>
  <c r="E92" i="4"/>
  <c r="D24" i="2"/>
  <c r="D28" i="2"/>
  <c r="D32" i="2"/>
  <c r="D36" i="2"/>
  <c r="D41" i="2"/>
  <c r="C49" i="2"/>
  <c r="D25" i="2"/>
  <c r="D29" i="2"/>
  <c r="D33" i="2"/>
  <c r="D37" i="2"/>
  <c r="D43" i="2"/>
  <c r="C50" i="2"/>
  <c r="D49" i="3"/>
  <c r="B69" i="3"/>
  <c r="B69" i="5"/>
  <c r="D26" i="2"/>
  <c r="D30" i="2"/>
  <c r="D34" i="2"/>
  <c r="D39" i="2"/>
  <c r="F98" i="3"/>
  <c r="F99" i="3" s="1"/>
  <c r="E39" i="4"/>
  <c r="F98" i="5"/>
  <c r="F99" i="5" s="1"/>
  <c r="D40" i="2"/>
  <c r="F98" i="4"/>
  <c r="F99" i="4" s="1"/>
  <c r="D97" i="3"/>
  <c r="D98" i="3" s="1"/>
  <c r="D99" i="3" s="1"/>
  <c r="D97" i="5"/>
  <c r="D98" i="5" s="1"/>
  <c r="D99" i="5" s="1"/>
  <c r="E41" i="4"/>
  <c r="D49" i="5"/>
  <c r="D97" i="4"/>
  <c r="D98" i="4" s="1"/>
  <c r="D99" i="4" s="1"/>
  <c r="E39" i="5" l="1"/>
  <c r="E40" i="5"/>
  <c r="G40" i="5"/>
  <c r="G39" i="5"/>
  <c r="E93" i="5"/>
  <c r="G41" i="5"/>
  <c r="F46" i="5"/>
  <c r="D46" i="5"/>
  <c r="E41" i="5"/>
  <c r="E91" i="5"/>
  <c r="G94" i="4"/>
  <c r="E40" i="4"/>
  <c r="G41" i="4"/>
  <c r="G38" i="4"/>
  <c r="G39" i="4"/>
  <c r="G40" i="4"/>
  <c r="D46" i="4"/>
  <c r="G93" i="4"/>
  <c r="E91" i="4"/>
  <c r="E38" i="3"/>
  <c r="E40" i="3"/>
  <c r="E39" i="3"/>
  <c r="G39" i="3"/>
  <c r="E41" i="3"/>
  <c r="F46" i="3"/>
  <c r="G41" i="3"/>
  <c r="G40" i="3"/>
  <c r="G91" i="5"/>
  <c r="G94" i="5"/>
  <c r="G92" i="5"/>
  <c r="G93" i="5"/>
  <c r="G92" i="3"/>
  <c r="E92" i="3"/>
  <c r="E94" i="3"/>
  <c r="G93" i="3"/>
  <c r="E91" i="3"/>
  <c r="G92" i="4"/>
  <c r="G91" i="4"/>
  <c r="E42" i="4"/>
  <c r="E92" i="5"/>
  <c r="E94" i="5"/>
  <c r="G91" i="3"/>
  <c r="G94" i="3"/>
  <c r="E94" i="4"/>
  <c r="E93" i="4"/>
  <c r="E42" i="3"/>
  <c r="E93" i="3"/>
  <c r="D103" i="5" l="1"/>
  <c r="E113" i="5" s="1"/>
  <c r="F113" i="5" s="1"/>
  <c r="E95" i="5"/>
  <c r="E42" i="5"/>
  <c r="G42" i="5"/>
  <c r="D52" i="5"/>
  <c r="G95" i="5"/>
  <c r="D105" i="5"/>
  <c r="D50" i="5"/>
  <c r="D51" i="5" s="1"/>
  <c r="E95" i="4"/>
  <c r="D103" i="4"/>
  <c r="E112" i="4" s="1"/>
  <c r="F112" i="4" s="1"/>
  <c r="G42" i="4"/>
  <c r="D50" i="4"/>
  <c r="G69" i="4" s="1"/>
  <c r="H69" i="4" s="1"/>
  <c r="D52" i="4"/>
  <c r="D105" i="4"/>
  <c r="G95" i="4"/>
  <c r="G42" i="3"/>
  <c r="D50" i="3"/>
  <c r="G65" i="3" s="1"/>
  <c r="H65" i="3" s="1"/>
  <c r="D52" i="3"/>
  <c r="G95" i="3"/>
  <c r="D103" i="3"/>
  <c r="E95" i="3"/>
  <c r="D105" i="3"/>
  <c r="D104" i="5" l="1"/>
  <c r="E108" i="5"/>
  <c r="E109" i="5"/>
  <c r="F109" i="5" s="1"/>
  <c r="E110" i="5"/>
  <c r="F110" i="5" s="1"/>
  <c r="E111" i="5"/>
  <c r="F111" i="5" s="1"/>
  <c r="E112" i="5"/>
  <c r="F112" i="5" s="1"/>
  <c r="G64" i="5"/>
  <c r="H64" i="5" s="1"/>
  <c r="G65" i="5"/>
  <c r="H65" i="5" s="1"/>
  <c r="G66" i="5"/>
  <c r="H66" i="5" s="1"/>
  <c r="G67" i="5"/>
  <c r="H67" i="5" s="1"/>
  <c r="G71" i="5"/>
  <c r="H71" i="5" s="1"/>
  <c r="G61" i="5"/>
  <c r="H61" i="5" s="1"/>
  <c r="G62" i="5"/>
  <c r="H62" i="5" s="1"/>
  <c r="G68" i="5"/>
  <c r="H68" i="5" s="1"/>
  <c r="G70" i="5"/>
  <c r="H70" i="5" s="1"/>
  <c r="G60" i="5"/>
  <c r="G69" i="5"/>
  <c r="H69" i="5" s="1"/>
  <c r="G63" i="5"/>
  <c r="H63" i="5" s="1"/>
  <c r="D104" i="4"/>
  <c r="E113" i="4"/>
  <c r="F113" i="4" s="1"/>
  <c r="E108" i="4"/>
  <c r="F108" i="4" s="1"/>
  <c r="E109" i="4"/>
  <c r="F109" i="4" s="1"/>
  <c r="E110" i="4"/>
  <c r="F110" i="4" s="1"/>
  <c r="E111" i="4"/>
  <c r="F111" i="4" s="1"/>
  <c r="G67" i="4"/>
  <c r="H67" i="4" s="1"/>
  <c r="G62" i="4"/>
  <c r="H62" i="4" s="1"/>
  <c r="G71" i="4"/>
  <c r="H71" i="4" s="1"/>
  <c r="G61" i="4"/>
  <c r="H61" i="4" s="1"/>
  <c r="G70" i="4"/>
  <c r="H70" i="4" s="1"/>
  <c r="G64" i="4"/>
  <c r="H64" i="4" s="1"/>
  <c r="G68" i="4"/>
  <c r="H68" i="4" s="1"/>
  <c r="G63" i="4"/>
  <c r="H63" i="4" s="1"/>
  <c r="D51" i="4"/>
  <c r="G66" i="4"/>
  <c r="H66" i="4" s="1"/>
  <c r="G65" i="4"/>
  <c r="H65" i="4" s="1"/>
  <c r="G60" i="4"/>
  <c r="H60" i="4" s="1"/>
  <c r="G64" i="3"/>
  <c r="H64" i="3" s="1"/>
  <c r="G67" i="3"/>
  <c r="H67" i="3" s="1"/>
  <c r="G66" i="3"/>
  <c r="H66" i="3" s="1"/>
  <c r="G70" i="3"/>
  <c r="H70" i="3" s="1"/>
  <c r="G68" i="3"/>
  <c r="H68" i="3" s="1"/>
  <c r="G61" i="3"/>
  <c r="H61" i="3" s="1"/>
  <c r="G60" i="3"/>
  <c r="G69" i="3"/>
  <c r="H69" i="3" s="1"/>
  <c r="G63" i="3"/>
  <c r="H63" i="3" s="1"/>
  <c r="D51" i="3"/>
  <c r="G62" i="3"/>
  <c r="H62" i="3" s="1"/>
  <c r="G71" i="3"/>
  <c r="H71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E115" i="5" l="1"/>
  <c r="E116" i="5" s="1"/>
  <c r="F108" i="5"/>
  <c r="F120" i="5" s="1"/>
  <c r="E117" i="5"/>
  <c r="E119" i="5"/>
  <c r="E120" i="5"/>
  <c r="G74" i="5"/>
  <c r="H60" i="5"/>
  <c r="H72" i="5" s="1"/>
  <c r="G72" i="5"/>
  <c r="G73" i="5" s="1"/>
  <c r="E117" i="4"/>
  <c r="E120" i="4"/>
  <c r="E115" i="4"/>
  <c r="E116" i="4" s="1"/>
  <c r="E119" i="4"/>
  <c r="G72" i="4"/>
  <c r="G73" i="4" s="1"/>
  <c r="G74" i="4"/>
  <c r="G74" i="3"/>
  <c r="G72" i="3"/>
  <c r="G73" i="3" s="1"/>
  <c r="H60" i="3"/>
  <c r="H74" i="3" s="1"/>
  <c r="E120" i="3"/>
  <c r="E117" i="3"/>
  <c r="F108" i="3"/>
  <c r="E115" i="3"/>
  <c r="E116" i="3" s="1"/>
  <c r="E119" i="3"/>
  <c r="H74" i="4"/>
  <c r="H72" i="4"/>
  <c r="H74" i="5"/>
  <c r="F119" i="4"/>
  <c r="F125" i="4"/>
  <c r="F120" i="4"/>
  <c r="F117" i="4"/>
  <c r="D125" i="4"/>
  <c r="F115" i="4"/>
  <c r="F125" i="5" l="1"/>
  <c r="F115" i="5"/>
  <c r="F116" i="5" s="1"/>
  <c r="D125" i="5"/>
  <c r="F117" i="5"/>
  <c r="F119" i="5"/>
  <c r="H72" i="3"/>
  <c r="H73" i="3" s="1"/>
  <c r="G76" i="5"/>
  <c r="H73" i="5"/>
  <c r="G124" i="4"/>
  <c r="F116" i="4"/>
  <c r="G76" i="4"/>
  <c r="H73" i="4"/>
  <c r="F125" i="3"/>
  <c r="F120" i="3"/>
  <c r="F117" i="3"/>
  <c r="D125" i="3"/>
  <c r="F115" i="3"/>
  <c r="F119" i="3"/>
  <c r="G124" i="5" l="1"/>
  <c r="G76" i="3"/>
  <c r="G124" i="3"/>
  <c r="F116" i="3"/>
</calcChain>
</file>

<file path=xl/sharedStrings.xml><?xml version="1.0" encoding="utf-8"?>
<sst xmlns="http://schemas.openxmlformats.org/spreadsheetml/2006/main" count="662" uniqueCount="141">
  <si>
    <t>HPLC System Suitability Report</t>
  </si>
  <si>
    <t>Analysis Data</t>
  </si>
  <si>
    <t>Assay</t>
  </si>
  <si>
    <t>Sample(s)</t>
  </si>
  <si>
    <t>Reference Substance:</t>
  </si>
  <si>
    <t>DOLUTEGRAVIR 50MG/LAMIVUDINE 300 MG/TENOFOVIR DISOPROXIL FUMARATE 300 MG.</t>
  </si>
  <si>
    <t>% age Purity:</t>
  </si>
  <si>
    <t>NDQB201805443</t>
  </si>
  <si>
    <t>Weight (mg):</t>
  </si>
  <si>
    <t>Dolutegravir (as Dolutegravir sodium) 50mg/lamivudine USP 300 mg,Tenofovir disoproxil fumarate (equivalent to 245 mg of tenofovir disoproxil) 300 mg.</t>
  </si>
  <si>
    <t>Standard Conc (mg/mL):</t>
  </si>
  <si>
    <t>Each film-coated tablets containsDolutegravir (as Dolutegravir sodium) 50mg/lamivudine USP 300 mg,Tenofovir disoproxil fumarate (equivalent to 245 mg of tenofovir disoproxil) 300 mg.</t>
  </si>
  <si>
    <t>2018-06-04 12:25:10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</si>
  <si>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</si>
  <si>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</si>
  <si>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</si>
  <si>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</si>
  <si>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</si>
  <si>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</si>
  <si>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</si>
  <si>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</si>
  <si>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</si>
  <si>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</si>
  <si>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</si>
  <si>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</si>
  <si>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</si>
  <si>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</si>
  <si>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</si>
  <si>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</si>
  <si>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</si>
  <si>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</si>
  <si>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</si>
  <si>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</si>
  <si>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</si>
  <si>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</si>
  <si>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</si>
  <si>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</si>
  <si>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</si>
  <si>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</si>
  <si>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</si>
  <si>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</si>
  <si>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</si>
  <si>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</si>
  <si>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</si>
  <si>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</si>
  <si>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</si>
  <si>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</si>
  <si>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</si>
  <si>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</si>
  <si>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</si>
  <si>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</si>
  <si>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</si>
  <si>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</si>
  <si>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</si>
  <si>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</si>
  <si>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</si>
  <si>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</si>
  <si>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</si>
  <si>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</si>
  <si>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</si>
  <si>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</si>
  <si>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</si>
  <si>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</si>
  <si>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</si>
  <si>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</si>
  <si>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</si>
  <si>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</si>
  <si>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</si>
  <si>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</si>
  <si>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</si>
  <si>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</si>
  <si>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</si>
  <si>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</si>
  <si>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</si>
  <si>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</si>
  <si>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</si>
  <si>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</si>
  <si>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</si>
  <si>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</si>
  <si>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</si>
  <si>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</si>
  <si>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</si>
  <si>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</si>
  <si>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</si>
  <si>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</si>
  <si>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</si>
  <si>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</si>
  <si>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</si>
  <si>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</si>
  <si>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</si>
  <si>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</si>
  <si>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</si>
  <si>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</si>
  <si>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</si>
  <si>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</si>
  <si>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</si>
  <si>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</si>
  <si>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</si>
  <si>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</si>
  <si>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</si>
  <si>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</si>
  <si>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</si>
  <si>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</si>
  <si>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</si>
  <si>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</si>
  <si>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</si>
  <si>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</si>
  <si>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</si>
  <si>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</si>
  <si>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</si>
  <si>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</si>
  <si>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</si>
  <si>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</si>
  <si>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</si>
  <si>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</si>
  <si>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</si>
  <si>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</si>
  <si>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</si>
  <si>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</si>
  <si>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</si>
  <si>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</si>
  <si>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</si>
  <si>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</si>
  <si>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</si>
  <si>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</si>
  <si>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</si>
  <si>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</si>
  <si>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</si>
  <si>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</si>
  <si>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</si>
  <si>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</si>
  <si>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</si>
  <si>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L3-12</t>
  </si>
  <si>
    <t>TDF</t>
  </si>
  <si>
    <t>T11-12</t>
  </si>
  <si>
    <t>DOLUTEGRAVIR SODIUM</t>
  </si>
  <si>
    <t>D32-2</t>
  </si>
  <si>
    <t>Lamivudine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</si>
  <si>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1500</t>
    </r>
  </si>
  <si>
    <r>
      <t>The number of Theoretical Plates (USP) for all peaks was less</t>
    </r>
    <r>
      <rPr>
        <b/>
        <sz val="12"/>
        <color rgb="FF000000"/>
        <rFont val="Book Antiqua"/>
      </rPr>
      <t xml:space="preserve"> than 10000</t>
    </r>
  </si>
  <si>
    <r>
      <t xml:space="preserve">The number of Theoretical Plates (USP) for all peaks was </t>
    </r>
    <r>
      <rPr>
        <b/>
        <sz val="12"/>
        <color rgb="FF000000"/>
        <rFont val="Book Antiqua"/>
      </rPr>
      <t>greater than 10000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</si>
</sst>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2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2" fillId="2" borderId="0" xfId="0" applyFont="1" applyFill="1" applyAlignment="1"/>
    <xf numFmtId="0" fontId="16" fillId="2" borderId="0" xfId="0" applyFont="1" applyFill="1" applyAlignment="1"/>
    <xf numFmtId="0" fontId="17" fillId="2" borderId="0" xfId="0" applyFont="1" applyFill="1" applyAlignment="1"/>
    <xf numFmtId="0" fontId="19" fillId="2" borderId="0" xfId="0" applyFont="1" applyFill="1" applyAlignment="1">
      <alignment horizontal="left" wrapText="1"/>
    </xf>
    <xf numFmtId="0" fontId="11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wrapText="1"/>
    </xf>
    <xf numFmtId="0" fontId="19" fillId="2" borderId="19" xfId="0" applyFont="1" applyFill="1" applyBorder="1" applyAlignment="1">
      <alignment horizontal="justify" wrapText="1"/>
    </xf>
    <xf numFmtId="0" fontId="19" fillId="2" borderId="20" xfId="0" applyFont="1" applyFill="1" applyBorder="1" applyAlignment="1">
      <alignment horizontal="justify" wrapText="1"/>
    </xf>
    <xf numFmtId="0" fontId="19" fillId="2" borderId="18" xfId="0" applyFont="1" applyFill="1" applyBorder="1" applyAlignment="1">
      <alignment horizontal="left" wrapText="1"/>
    </xf>
    <xf numFmtId="0" fontId="19" fillId="2" borderId="19" xfId="0" applyFont="1" applyFill="1" applyBorder="1" applyAlignment="1">
      <alignment horizontal="left" wrapText="1"/>
    </xf>
    <xf numFmtId="0" fontId="19" fillId="2" borderId="20" xfId="0" applyFont="1" applyFill="1" applyBorder="1" applyAlignment="1">
      <alignment horizontal="left" wrapText="1"/>
    </xf>
    <xf numFmtId="0" fontId="19" fillId="2" borderId="21" xfId="0" applyFont="1" applyFill="1" applyBorder="1" applyAlignment="1">
      <alignment horizontal="left" wrapText="1"/>
    </xf>
    <xf numFmtId="0" fontId="19" fillId="2" borderId="10" xfId="0" applyFont="1" applyFill="1" applyBorder="1" applyAlignment="1">
      <alignment horizontal="left" wrapText="1"/>
    </xf>
    <xf numFmtId="0" fontId="19" fillId="2" borderId="43" xfId="0" applyFont="1" applyFill="1" applyBorder="1" applyAlignment="1">
      <alignment horizontal="left" wrapText="1"/>
    </xf>
    <xf numFmtId="0" fontId="19" fillId="2" borderId="9" xfId="0" applyFont="1" applyFill="1" applyBorder="1" applyAlignment="1">
      <alignment horizontal="left" wrapText="1"/>
    </xf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37" zoomScaleNormal="100" workbookViewId="0">
      <selection activeCell="B57" sqref="B57"/>
    </sheetView>
  </sheetViews>
  <sheetFormatPr defaultRowHeight="13.5" x14ac:dyDescent="0.25"/>
  <cols>
    <col min="1" max="1" width="27.5703125" style="594" customWidth="1"/>
    <col min="2" max="2" width="20.42578125" style="594" customWidth="1"/>
    <col min="3" max="3" width="31.85546875" style="594" customWidth="1"/>
    <col min="4" max="4" width="25.85546875" style="594" customWidth="1"/>
    <col min="5" max="5" width="25.7109375" style="594" customWidth="1"/>
    <col min="6" max="6" width="23.140625" style="594" customWidth="1"/>
    <col min="7" max="7" width="28.42578125" style="594" customWidth="1"/>
    <col min="8" max="8" width="21.5703125" style="594" customWidth="1"/>
    <col min="9" max="9" width="9.140625" style="59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68" t="s">
        <v>0</v>
      </c>
      <c r="B15" s="668"/>
      <c r="C15" s="668"/>
      <c r="D15" s="668"/>
      <c r="E15" s="668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594" t="s">
        <v>135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99.8</v>
      </c>
      <c r="C19" s="72"/>
      <c r="D19" s="72"/>
      <c r="E19" s="72"/>
    </row>
    <row r="20" spans="1:5" ht="16.5" customHeight="1" x14ac:dyDescent="0.3">
      <c r="A20" s="8" t="s">
        <v>8</v>
      </c>
      <c r="B20" s="12">
        <v>14.19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B20/25*3/50</f>
        <v>3.4055999999999996E-2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17728931</v>
      </c>
      <c r="C24" s="18">
        <v>89128.3</v>
      </c>
      <c r="D24" s="19">
        <v>1.21</v>
      </c>
      <c r="E24" s="20">
        <v>10.85</v>
      </c>
    </row>
    <row r="25" spans="1:5" ht="16.5" customHeight="1" x14ac:dyDescent="0.3">
      <c r="A25" s="17">
        <v>2</v>
      </c>
      <c r="B25" s="18">
        <v>17898763</v>
      </c>
      <c r="C25" s="18">
        <v>89072.18</v>
      </c>
      <c r="D25" s="19">
        <v>1.19</v>
      </c>
      <c r="E25" s="19">
        <v>10.85</v>
      </c>
    </row>
    <row r="26" spans="1:5" ht="16.5" customHeight="1" x14ac:dyDescent="0.3">
      <c r="A26" s="17">
        <v>3</v>
      </c>
      <c r="B26" s="18">
        <v>17821002</v>
      </c>
      <c r="C26" s="18">
        <v>89488.72</v>
      </c>
      <c r="D26" s="19">
        <v>1.22</v>
      </c>
      <c r="E26" s="19">
        <v>10.85</v>
      </c>
    </row>
    <row r="27" spans="1:5" ht="16.5" customHeight="1" x14ac:dyDescent="0.3">
      <c r="A27" s="17">
        <v>4</v>
      </c>
      <c r="B27" s="18">
        <v>17985129</v>
      </c>
      <c r="C27" s="18">
        <v>88975.03</v>
      </c>
      <c r="D27" s="19">
        <v>1.18</v>
      </c>
      <c r="E27" s="19">
        <v>10.85</v>
      </c>
    </row>
    <row r="28" spans="1:5" ht="16.5" customHeight="1" x14ac:dyDescent="0.3">
      <c r="A28" s="17">
        <v>5</v>
      </c>
      <c r="B28" s="18">
        <v>17872239</v>
      </c>
      <c r="C28" s="18">
        <v>89747.87</v>
      </c>
      <c r="D28" s="19">
        <v>1.2</v>
      </c>
      <c r="E28" s="19">
        <v>10.85</v>
      </c>
    </row>
    <row r="29" spans="1:5" ht="16.5" customHeight="1" x14ac:dyDescent="0.3">
      <c r="A29" s="17">
        <v>6</v>
      </c>
      <c r="B29" s="21">
        <v>17887844</v>
      </c>
      <c r="C29" s="21">
        <v>89647.09</v>
      </c>
      <c r="D29" s="22">
        <v>1.21</v>
      </c>
      <c r="E29" s="22">
        <v>10.85</v>
      </c>
    </row>
    <row r="30" spans="1:5" ht="16.5" customHeight="1" x14ac:dyDescent="0.3">
      <c r="A30" s="23" t="s">
        <v>18</v>
      </c>
      <c r="B30" s="24">
        <f>AVERAGE(B24:B29)</f>
        <v>17865651.333333332</v>
      </c>
      <c r="C30" s="25">
        <f>AVERAGE(C24:C29)</f>
        <v>89343.198333333319</v>
      </c>
      <c r="D30" s="26">
        <f>AVERAGE(D24:D29)</f>
        <v>1.2016666666666667</v>
      </c>
      <c r="E30" s="26">
        <f>AVERAGE(E24:E29)</f>
        <v>10.85</v>
      </c>
    </row>
    <row r="31" spans="1:5" ht="16.5" customHeight="1" x14ac:dyDescent="0.3">
      <c r="A31" s="27" t="s">
        <v>19</v>
      </c>
      <c r="B31" s="28">
        <f>(STDEV(B24:B29)/B30)</f>
        <v>4.7884665158489667E-3</v>
      </c>
      <c r="C31" s="29"/>
      <c r="D31" s="29"/>
      <c r="E31" s="30"/>
    </row>
    <row r="32" spans="1:5" s="594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594" customFormat="1" ht="15.75" customHeight="1" x14ac:dyDescent="0.25">
      <c r="A33" s="72"/>
      <c r="B33" s="72"/>
      <c r="C33" s="72"/>
      <c r="D33" s="72"/>
      <c r="E33" s="72"/>
    </row>
    <row r="34" spans="1:5" s="594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594" t="s">
        <v>135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99.8</v>
      </c>
      <c r="C40" s="72"/>
      <c r="D40" s="72"/>
      <c r="E40" s="72"/>
    </row>
    <row r="41" spans="1:5" ht="16.5" customHeight="1" x14ac:dyDescent="0.3">
      <c r="A41" s="8" t="s">
        <v>8</v>
      </c>
      <c r="B41" s="12">
        <v>29.63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B41/50*10/100</f>
        <v>5.926E-2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25924243</v>
      </c>
      <c r="C45" s="18">
        <v>61446.5</v>
      </c>
      <c r="D45" s="19">
        <v>1.0900000000000001</v>
      </c>
      <c r="E45" s="20">
        <v>7.05</v>
      </c>
    </row>
    <row r="46" spans="1:5" ht="16.5" customHeight="1" x14ac:dyDescent="0.3">
      <c r="A46" s="17">
        <v>2</v>
      </c>
      <c r="B46" s="18">
        <v>25920874</v>
      </c>
      <c r="C46" s="18">
        <v>63044.7</v>
      </c>
      <c r="D46" s="19">
        <v>1.05</v>
      </c>
      <c r="E46" s="19">
        <v>7.05</v>
      </c>
    </row>
    <row r="47" spans="1:5" ht="16.5" customHeight="1" x14ac:dyDescent="0.3">
      <c r="A47" s="17">
        <v>3</v>
      </c>
      <c r="B47" s="18">
        <v>25971400</v>
      </c>
      <c r="C47" s="18">
        <v>63693.47</v>
      </c>
      <c r="D47" s="19">
        <v>1.03</v>
      </c>
      <c r="E47" s="19">
        <v>7.05</v>
      </c>
    </row>
    <row r="48" spans="1:5" ht="16.5" customHeight="1" x14ac:dyDescent="0.3">
      <c r="A48" s="17">
        <v>4</v>
      </c>
      <c r="B48" s="18">
        <v>25730697</v>
      </c>
      <c r="C48" s="18">
        <v>64713.79</v>
      </c>
      <c r="D48" s="19">
        <v>1.06</v>
      </c>
      <c r="E48" s="19">
        <v>7.05</v>
      </c>
    </row>
    <row r="49" spans="1:7" ht="16.5" customHeight="1" x14ac:dyDescent="0.3">
      <c r="A49" s="17">
        <v>5</v>
      </c>
      <c r="B49" s="18">
        <v>25926077</v>
      </c>
      <c r="C49" s="18">
        <v>65578.45</v>
      </c>
      <c r="D49" s="19">
        <v>1.05</v>
      </c>
      <c r="E49" s="19">
        <v>7.05</v>
      </c>
    </row>
    <row r="50" spans="1:7" ht="16.5" customHeight="1" x14ac:dyDescent="0.3">
      <c r="A50" s="17">
        <v>6</v>
      </c>
      <c r="B50" s="21">
        <v>26006828</v>
      </c>
      <c r="C50" s="21">
        <v>65618.47</v>
      </c>
      <c r="D50" s="22">
        <v>1.08</v>
      </c>
      <c r="E50" s="22">
        <v>7.05</v>
      </c>
    </row>
    <row r="51" spans="1:7" ht="16.5" customHeight="1" x14ac:dyDescent="0.3">
      <c r="A51" s="23" t="s">
        <v>18</v>
      </c>
      <c r="B51" s="24">
        <f>AVERAGE(B45:B50)</f>
        <v>25913353.166666668</v>
      </c>
      <c r="C51" s="25">
        <f>AVERAGE(C45:C50)</f>
        <v>64015.896666666667</v>
      </c>
      <c r="D51" s="26">
        <f>AVERAGE(D45:D50)</f>
        <v>1.06</v>
      </c>
      <c r="E51" s="26">
        <f>AVERAGE(E45:E50)</f>
        <v>7.05</v>
      </c>
    </row>
    <row r="52" spans="1:7" ht="16.5" customHeight="1" x14ac:dyDescent="0.3">
      <c r="A52" s="27" t="s">
        <v>19</v>
      </c>
      <c r="B52" s="28">
        <f>(STDEV(B45:B50)/B51)</f>
        <v>3.693675509272961E-3</v>
      </c>
      <c r="C52" s="29"/>
      <c r="D52" s="29"/>
      <c r="E52" s="30"/>
    </row>
    <row r="53" spans="1:7" s="594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594" customFormat="1" ht="15.75" customHeight="1" x14ac:dyDescent="0.25">
      <c r="A54" s="72"/>
      <c r="B54" s="72"/>
      <c r="C54" s="72"/>
      <c r="D54" s="72"/>
      <c r="E54" s="72"/>
    </row>
    <row r="55" spans="1:7" s="594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140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26"/>
      <c r="D58" s="43"/>
      <c r="F58" s="44"/>
      <c r="G58" s="44"/>
    </row>
    <row r="59" spans="1:7" ht="15" customHeight="1" x14ac:dyDescent="0.3">
      <c r="B59" s="669" t="s">
        <v>26</v>
      </c>
      <c r="C59" s="66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workbookViewId="0">
      <selection activeCell="B57" sqref="B5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68" t="s">
        <v>0</v>
      </c>
      <c r="B15" s="668"/>
      <c r="C15" s="668"/>
      <c r="D15" s="668"/>
      <c r="E15" s="66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98.58</v>
      </c>
      <c r="C19" s="10"/>
      <c r="D19" s="10"/>
      <c r="E19" s="10"/>
    </row>
    <row r="20" spans="1:6" ht="16.5" customHeight="1" x14ac:dyDescent="0.3">
      <c r="A20" s="7" t="s">
        <v>8</v>
      </c>
      <c r="B20" s="12">
        <v>22.51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B20/25*3/25</f>
        <v>0.10804800000000001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22595667</v>
      </c>
      <c r="C24" s="18">
        <v>89776.01</v>
      </c>
      <c r="D24" s="19">
        <v>1.07</v>
      </c>
      <c r="E24" s="20">
        <v>9.74</v>
      </c>
    </row>
    <row r="25" spans="1:6" ht="16.5" customHeight="1" x14ac:dyDescent="0.3">
      <c r="A25" s="17">
        <v>2</v>
      </c>
      <c r="B25" s="18">
        <v>22528106</v>
      </c>
      <c r="C25" s="18">
        <v>89580.66</v>
      </c>
      <c r="D25" s="19">
        <v>1.04</v>
      </c>
      <c r="E25" s="19">
        <v>9.74</v>
      </c>
    </row>
    <row r="26" spans="1:6" ht="16.5" customHeight="1" x14ac:dyDescent="0.3">
      <c r="A26" s="17">
        <v>3</v>
      </c>
      <c r="B26" s="18">
        <v>22619752</v>
      </c>
      <c r="C26" s="18">
        <v>90418.85</v>
      </c>
      <c r="D26" s="19">
        <v>1.05</v>
      </c>
      <c r="E26" s="19">
        <v>9.74</v>
      </c>
    </row>
    <row r="27" spans="1:6" ht="16.5" customHeight="1" x14ac:dyDescent="0.3">
      <c r="A27" s="17">
        <v>4</v>
      </c>
      <c r="B27" s="18">
        <v>22640092</v>
      </c>
      <c r="C27" s="18">
        <v>90360.03</v>
      </c>
      <c r="D27" s="19">
        <v>1.04</v>
      </c>
      <c r="E27" s="19">
        <v>9.7100000000000009</v>
      </c>
    </row>
    <row r="28" spans="1:6" ht="16.5" customHeight="1" x14ac:dyDescent="0.3">
      <c r="A28" s="17">
        <v>5</v>
      </c>
      <c r="B28" s="18">
        <v>22595064</v>
      </c>
      <c r="C28" s="18">
        <v>90763.47</v>
      </c>
      <c r="D28" s="19">
        <v>1.04</v>
      </c>
      <c r="E28" s="19">
        <v>9.7100000000000009</v>
      </c>
    </row>
    <row r="29" spans="1:6" ht="16.5" customHeight="1" x14ac:dyDescent="0.3">
      <c r="A29" s="17">
        <v>6</v>
      </c>
      <c r="B29" s="21">
        <v>22685628</v>
      </c>
      <c r="C29" s="21">
        <v>93562.68</v>
      </c>
      <c r="D29" s="22">
        <v>1.05</v>
      </c>
      <c r="E29" s="22">
        <v>9.73</v>
      </c>
    </row>
    <row r="30" spans="1:6" ht="16.5" customHeight="1" x14ac:dyDescent="0.3">
      <c r="A30" s="23" t="s">
        <v>18</v>
      </c>
      <c r="B30" s="24">
        <f>AVERAGE(B24:B29)</f>
        <v>22610718.166666668</v>
      </c>
      <c r="C30" s="25">
        <f>AVERAGE(C24:C29)</f>
        <v>90743.616666666654</v>
      </c>
      <c r="D30" s="26">
        <f>AVERAGE(D24:D29)</f>
        <v>1.0483333333333333</v>
      </c>
      <c r="E30" s="26">
        <f>AVERAGE(E24:E29)</f>
        <v>9.7283333333333335</v>
      </c>
    </row>
    <row r="31" spans="1:6" ht="16.5" customHeight="1" x14ac:dyDescent="0.3">
      <c r="A31" s="27" t="s">
        <v>19</v>
      </c>
      <c r="B31" s="28">
        <f>(STDEV(B24:B29)/B30)</f>
        <v>2.3278833230057834E-3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594" t="s">
        <v>133</v>
      </c>
      <c r="C39" s="10"/>
      <c r="D39" s="10"/>
      <c r="E39" s="10"/>
    </row>
    <row r="40" spans="1:6" ht="16.5" customHeight="1" x14ac:dyDescent="0.3">
      <c r="A40" s="11" t="s">
        <v>6</v>
      </c>
      <c r="B40" s="12">
        <v>98.58</v>
      </c>
      <c r="C40" s="10"/>
      <c r="D40" s="10"/>
      <c r="E40" s="10"/>
    </row>
    <row r="41" spans="1:6" ht="16.5" customHeight="1" x14ac:dyDescent="0.3">
      <c r="A41" s="7" t="s">
        <v>8</v>
      </c>
      <c r="B41" s="12">
        <v>34.979999999999997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B41/100</f>
        <v>0.34979999999999994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43377432</v>
      </c>
      <c r="C45" s="18">
        <v>7611.29</v>
      </c>
      <c r="D45" s="19">
        <v>1.18</v>
      </c>
      <c r="E45" s="20">
        <v>2.83</v>
      </c>
    </row>
    <row r="46" spans="1:6" ht="16.5" customHeight="1" x14ac:dyDescent="0.3">
      <c r="A46" s="17">
        <v>2</v>
      </c>
      <c r="B46" s="18">
        <v>43378475</v>
      </c>
      <c r="C46" s="18">
        <v>7690.17</v>
      </c>
      <c r="D46" s="19">
        <v>1.1299999999999999</v>
      </c>
      <c r="E46" s="19">
        <v>2.84</v>
      </c>
    </row>
    <row r="47" spans="1:6" ht="16.5" customHeight="1" x14ac:dyDescent="0.3">
      <c r="A47" s="17">
        <v>3</v>
      </c>
      <c r="B47" s="18">
        <v>43463836</v>
      </c>
      <c r="C47" s="18">
        <v>7660.39</v>
      </c>
      <c r="D47" s="19">
        <v>1.1499999999999999</v>
      </c>
      <c r="E47" s="19">
        <v>2.84</v>
      </c>
    </row>
    <row r="48" spans="1:6" ht="16.5" customHeight="1" x14ac:dyDescent="0.3">
      <c r="A48" s="17">
        <v>4</v>
      </c>
      <c r="B48" s="18">
        <v>43070764</v>
      </c>
      <c r="C48" s="18">
        <v>7739.85</v>
      </c>
      <c r="D48" s="19">
        <v>1.1399999999999999</v>
      </c>
      <c r="E48" s="19">
        <v>2.84</v>
      </c>
    </row>
    <row r="49" spans="1:7" ht="16.5" customHeight="1" x14ac:dyDescent="0.3">
      <c r="A49" s="17">
        <v>5</v>
      </c>
      <c r="B49" s="18">
        <v>43410185</v>
      </c>
      <c r="C49" s="18">
        <v>7839.46</v>
      </c>
      <c r="D49" s="19">
        <v>1.1100000000000001</v>
      </c>
      <c r="E49" s="19">
        <v>2.84</v>
      </c>
    </row>
    <row r="50" spans="1:7" ht="16.5" customHeight="1" x14ac:dyDescent="0.3">
      <c r="A50" s="17">
        <v>6</v>
      </c>
      <c r="B50" s="21">
        <v>43525059</v>
      </c>
      <c r="C50" s="21">
        <v>7822.08</v>
      </c>
      <c r="D50" s="22">
        <v>1.1499999999999999</v>
      </c>
      <c r="E50" s="22">
        <v>2.84</v>
      </c>
    </row>
    <row r="51" spans="1:7" ht="16.5" customHeight="1" x14ac:dyDescent="0.3">
      <c r="A51" s="23" t="s">
        <v>18</v>
      </c>
      <c r="B51" s="24">
        <f>AVERAGE(B45:B50)</f>
        <v>43370958.5</v>
      </c>
      <c r="C51" s="25">
        <f>AVERAGE(C45:C50)</f>
        <v>7727.206666666666</v>
      </c>
      <c r="D51" s="26">
        <f>AVERAGE(D45:D50)</f>
        <v>1.1433333333333333</v>
      </c>
      <c r="E51" s="26">
        <f>AVERAGE(E45:E50)</f>
        <v>2.8383333333333334</v>
      </c>
    </row>
    <row r="52" spans="1:7" ht="16.5" customHeight="1" x14ac:dyDescent="0.3">
      <c r="A52" s="27" t="s">
        <v>19</v>
      </c>
      <c r="B52" s="28">
        <f>(STDEV(B45:B50)/B51)</f>
        <v>3.6328645199389244E-3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139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69" t="s">
        <v>26</v>
      </c>
      <c r="C59" s="66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0" workbookViewId="0">
      <selection activeCell="C32" sqref="C32"/>
    </sheetView>
  </sheetViews>
  <sheetFormatPr defaultRowHeight="13.5" x14ac:dyDescent="0.25"/>
  <cols>
    <col min="1" max="1" width="27.5703125" style="594" customWidth="1"/>
    <col min="2" max="2" width="20.42578125" style="594" customWidth="1"/>
    <col min="3" max="3" width="31.85546875" style="594" customWidth="1"/>
    <col min="4" max="4" width="25.85546875" style="594" customWidth="1"/>
    <col min="5" max="5" width="25.7109375" style="594" customWidth="1"/>
    <col min="6" max="6" width="23.140625" style="594" customWidth="1"/>
    <col min="7" max="7" width="28.42578125" style="594" customWidth="1"/>
    <col min="8" max="8" width="21.5703125" style="594" customWidth="1"/>
    <col min="9" max="9" width="9.140625" style="59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68" t="s">
        <v>0</v>
      </c>
      <c r="B15" s="668"/>
      <c r="C15" s="668"/>
      <c r="D15" s="668"/>
      <c r="E15" s="668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594" t="s">
        <v>131</v>
      </c>
      <c r="C18" s="72"/>
      <c r="D18" s="72"/>
      <c r="E18" s="72"/>
    </row>
    <row r="19" spans="1:5" ht="16.5" customHeight="1" x14ac:dyDescent="0.3">
      <c r="A19" s="75" t="s">
        <v>6</v>
      </c>
      <c r="B19" s="12">
        <v>98.9</v>
      </c>
      <c r="C19" s="72"/>
      <c r="D19" s="72"/>
      <c r="E19" s="72"/>
    </row>
    <row r="20" spans="1:5" ht="16.5" customHeight="1" x14ac:dyDescent="0.3">
      <c r="A20" s="8" t="s">
        <v>8</v>
      </c>
      <c r="B20" s="12">
        <v>23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B20/25*3/25</f>
        <v>0.11040000000000001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37479755</v>
      </c>
      <c r="C24" s="18">
        <v>8563.8799999999992</v>
      </c>
      <c r="D24" s="19">
        <v>1.1100000000000001</v>
      </c>
      <c r="E24" s="20">
        <v>3.75</v>
      </c>
    </row>
    <row r="25" spans="1:5" ht="16.5" customHeight="1" x14ac:dyDescent="0.3">
      <c r="A25" s="17">
        <v>2</v>
      </c>
      <c r="B25" s="18">
        <v>37378846</v>
      </c>
      <c r="C25" s="18">
        <v>8644.82</v>
      </c>
      <c r="D25" s="19">
        <v>1.08</v>
      </c>
      <c r="E25" s="19">
        <v>3.75</v>
      </c>
    </row>
    <row r="26" spans="1:5" ht="16.5" customHeight="1" x14ac:dyDescent="0.3">
      <c r="A26" s="17">
        <v>3</v>
      </c>
      <c r="B26" s="18">
        <v>37537423</v>
      </c>
      <c r="C26" s="18">
        <v>8753.41</v>
      </c>
      <c r="D26" s="19">
        <v>1.0900000000000001</v>
      </c>
      <c r="E26" s="19">
        <v>3.75</v>
      </c>
    </row>
    <row r="27" spans="1:5" ht="16.5" customHeight="1" x14ac:dyDescent="0.3">
      <c r="A27" s="17">
        <v>4</v>
      </c>
      <c r="B27" s="18">
        <v>37565056</v>
      </c>
      <c r="C27" s="18">
        <v>8829.2900000000009</v>
      </c>
      <c r="D27" s="19">
        <v>1.08</v>
      </c>
      <c r="E27" s="19">
        <v>3.75</v>
      </c>
    </row>
    <row r="28" spans="1:5" ht="16.5" customHeight="1" x14ac:dyDescent="0.3">
      <c r="A28" s="17">
        <v>5</v>
      </c>
      <c r="B28" s="18">
        <v>37503562</v>
      </c>
      <c r="C28" s="18">
        <v>8773.52</v>
      </c>
      <c r="D28" s="19">
        <v>1.07</v>
      </c>
      <c r="E28" s="19">
        <v>3.75</v>
      </c>
    </row>
    <row r="29" spans="1:5" ht="16.5" customHeight="1" x14ac:dyDescent="0.3">
      <c r="A29" s="17">
        <v>6</v>
      </c>
      <c r="B29" s="21">
        <v>37647463</v>
      </c>
      <c r="C29" s="21">
        <v>8639.9</v>
      </c>
      <c r="D29" s="22">
        <v>1.1100000000000001</v>
      </c>
      <c r="E29" s="22">
        <v>3.74</v>
      </c>
    </row>
    <row r="30" spans="1:5" ht="16.5" customHeight="1" x14ac:dyDescent="0.3">
      <c r="A30" s="23" t="s">
        <v>18</v>
      </c>
      <c r="B30" s="24">
        <f>AVERAGE(B24:B29)</f>
        <v>37518684.166666664</v>
      </c>
      <c r="C30" s="25">
        <f>AVERAGE(C24:C29)</f>
        <v>8700.8033333333333</v>
      </c>
      <c r="D30" s="26">
        <f>AVERAGE(D24:D29)</f>
        <v>1.0900000000000001</v>
      </c>
      <c r="E30" s="26">
        <f>AVERAGE(E24:E29)</f>
        <v>3.7483333333333335</v>
      </c>
    </row>
    <row r="31" spans="1:5" ht="16.5" customHeight="1" x14ac:dyDescent="0.3">
      <c r="A31" s="27" t="s">
        <v>19</v>
      </c>
      <c r="B31" s="28">
        <f>(STDEV(B24:B29)/B30)</f>
        <v>2.3953774450189572E-3</v>
      </c>
      <c r="C31" s="29"/>
      <c r="D31" s="29"/>
      <c r="E31" s="30"/>
    </row>
    <row r="32" spans="1:5" s="594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594" customFormat="1" ht="15.75" customHeight="1" x14ac:dyDescent="0.25">
      <c r="A33" s="72"/>
      <c r="B33" s="72"/>
      <c r="C33" s="72"/>
      <c r="D33" s="72"/>
      <c r="E33" s="72"/>
    </row>
    <row r="34" spans="1:5" s="594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594" t="s">
        <v>131</v>
      </c>
      <c r="C39" s="72"/>
      <c r="D39" s="72"/>
      <c r="E39" s="72"/>
    </row>
    <row r="40" spans="1:5" ht="16.5" customHeight="1" x14ac:dyDescent="0.3">
      <c r="A40" s="75" t="s">
        <v>6</v>
      </c>
      <c r="B40" s="12">
        <v>98.9</v>
      </c>
      <c r="C40" s="72"/>
      <c r="D40" s="72"/>
      <c r="E40" s="72"/>
    </row>
    <row r="41" spans="1:5" ht="16.5" customHeight="1" x14ac:dyDescent="0.3">
      <c r="A41" s="8" t="s">
        <v>8</v>
      </c>
      <c r="B41" s="12">
        <v>32.21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B41/100</f>
        <v>0.3221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2549348</v>
      </c>
      <c r="C45" s="18">
        <v>5567.16</v>
      </c>
      <c r="D45" s="19">
        <v>1.1399999999999999</v>
      </c>
      <c r="E45" s="20">
        <v>2</v>
      </c>
    </row>
    <row r="46" spans="1:5" ht="16.5" customHeight="1" x14ac:dyDescent="0.3">
      <c r="A46" s="17">
        <v>2</v>
      </c>
      <c r="B46" s="18">
        <v>2547312</v>
      </c>
      <c r="C46" s="18">
        <v>5608.46</v>
      </c>
      <c r="D46" s="19">
        <v>1.1299999999999999</v>
      </c>
      <c r="E46" s="19">
        <v>2</v>
      </c>
    </row>
    <row r="47" spans="1:5" ht="16.5" customHeight="1" x14ac:dyDescent="0.3">
      <c r="A47" s="17">
        <v>3</v>
      </c>
      <c r="B47" s="18">
        <v>2554367</v>
      </c>
      <c r="C47" s="18">
        <v>5601.3</v>
      </c>
      <c r="D47" s="19">
        <v>1.1200000000000001</v>
      </c>
      <c r="E47" s="19">
        <v>2</v>
      </c>
    </row>
    <row r="48" spans="1:5" ht="16.5" customHeight="1" x14ac:dyDescent="0.3">
      <c r="A48" s="17">
        <v>4</v>
      </c>
      <c r="B48" s="18">
        <v>2530806</v>
      </c>
      <c r="C48" s="18">
        <v>5628.58</v>
      </c>
      <c r="D48" s="19">
        <v>1.1399999999999999</v>
      </c>
      <c r="E48" s="19">
        <v>2</v>
      </c>
    </row>
    <row r="49" spans="1:7" ht="16.5" customHeight="1" x14ac:dyDescent="0.3">
      <c r="A49" s="17">
        <v>5</v>
      </c>
      <c r="B49" s="18">
        <v>2550352</v>
      </c>
      <c r="C49" s="18">
        <v>5643.27</v>
      </c>
      <c r="D49" s="19">
        <v>1.1399999999999999</v>
      </c>
      <c r="E49" s="19">
        <v>2</v>
      </c>
    </row>
    <row r="50" spans="1:7" ht="16.5" customHeight="1" x14ac:dyDescent="0.3">
      <c r="A50" s="17">
        <v>6</v>
      </c>
      <c r="B50" s="21">
        <v>2557436</v>
      </c>
      <c r="C50" s="21">
        <v>5692.19</v>
      </c>
      <c r="D50" s="22">
        <v>1.07</v>
      </c>
      <c r="E50" s="22">
        <v>2</v>
      </c>
    </row>
    <row r="51" spans="1:7" ht="16.5" customHeight="1" x14ac:dyDescent="0.3">
      <c r="A51" s="23" t="s">
        <v>18</v>
      </c>
      <c r="B51" s="24">
        <f>AVERAGE(B45:B50)</f>
        <v>2548270.1666666665</v>
      </c>
      <c r="C51" s="25">
        <f>AVERAGE(C45:C50)</f>
        <v>5623.4933333333329</v>
      </c>
      <c r="D51" s="26">
        <f>AVERAGE(D45:D50)</f>
        <v>1.1233333333333333</v>
      </c>
      <c r="E51" s="26">
        <f>AVERAGE(E45:E50)</f>
        <v>2</v>
      </c>
    </row>
    <row r="52" spans="1:7" ht="16.5" customHeight="1" x14ac:dyDescent="0.3">
      <c r="A52" s="27" t="s">
        <v>19</v>
      </c>
      <c r="B52" s="28">
        <f>(STDEV(B45:B50)/B51)</f>
        <v>3.6501456296094414E-3</v>
      </c>
      <c r="C52" s="29"/>
      <c r="D52" s="29"/>
      <c r="E52" s="30"/>
    </row>
    <row r="53" spans="1:7" s="594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594" customFormat="1" ht="15.75" customHeight="1" x14ac:dyDescent="0.25">
      <c r="A54" s="72"/>
      <c r="B54" s="72"/>
      <c r="C54" s="72"/>
      <c r="D54" s="72"/>
      <c r="E54" s="72"/>
    </row>
    <row r="55" spans="1:7" s="594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138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26"/>
      <c r="D58" s="43"/>
      <c r="F58" s="44"/>
      <c r="G58" s="44"/>
    </row>
    <row r="59" spans="1:7" ht="15" customHeight="1" x14ac:dyDescent="0.3">
      <c r="B59" s="669" t="s">
        <v>26</v>
      </c>
      <c r="C59" s="66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B3" sqref="B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73" t="s">
        <v>31</v>
      </c>
      <c r="B11" s="674"/>
      <c r="C11" s="674"/>
      <c r="D11" s="674"/>
      <c r="E11" s="674"/>
      <c r="F11" s="675"/>
      <c r="G11" s="91"/>
    </row>
    <row r="12" spans="1:7" ht="16.5" customHeight="1" x14ac:dyDescent="0.3">
      <c r="A12" s="672" t="s">
        <v>32</v>
      </c>
      <c r="B12" s="672"/>
      <c r="C12" s="672"/>
      <c r="D12" s="672"/>
      <c r="E12" s="672"/>
      <c r="F12" s="672"/>
      <c r="G12" s="90"/>
    </row>
    <row r="14" spans="1:7" ht="16.5" customHeight="1" x14ac:dyDescent="0.3">
      <c r="A14" s="677" t="s">
        <v>33</v>
      </c>
      <c r="B14" s="677"/>
      <c r="C14" s="60" t="s">
        <v>5</v>
      </c>
    </row>
    <row r="15" spans="1:7" ht="16.5" customHeight="1" x14ac:dyDescent="0.3">
      <c r="A15" s="677" t="s">
        <v>34</v>
      </c>
      <c r="B15" s="677"/>
      <c r="C15" s="60" t="s">
        <v>7</v>
      </c>
    </row>
    <row r="16" spans="1:7" ht="16.5" customHeight="1" x14ac:dyDescent="0.3">
      <c r="A16" s="677" t="s">
        <v>35</v>
      </c>
      <c r="B16" s="677"/>
      <c r="C16" s="60" t="s">
        <v>9</v>
      </c>
    </row>
    <row r="17" spans="1:5" ht="16.5" customHeight="1" x14ac:dyDescent="0.3">
      <c r="A17" s="677" t="s">
        <v>36</v>
      </c>
      <c r="B17" s="677"/>
      <c r="C17" s="60" t="s">
        <v>11</v>
      </c>
    </row>
    <row r="18" spans="1:5" ht="16.5" customHeight="1" x14ac:dyDescent="0.3">
      <c r="A18" s="677" t="s">
        <v>37</v>
      </c>
      <c r="B18" s="677"/>
      <c r="C18" s="97" t="s">
        <v>12</v>
      </c>
    </row>
    <row r="19" spans="1:5" ht="16.5" customHeight="1" x14ac:dyDescent="0.3">
      <c r="A19" s="677" t="s">
        <v>38</v>
      </c>
      <c r="B19" s="677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72" t="s">
        <v>1</v>
      </c>
      <c r="B21" s="672"/>
      <c r="C21" s="59" t="s">
        <v>39</v>
      </c>
      <c r="D21" s="66"/>
    </row>
    <row r="22" spans="1:5" ht="15.75" customHeight="1" x14ac:dyDescent="0.3">
      <c r="A22" s="676"/>
      <c r="B22" s="676"/>
      <c r="C22" s="57"/>
      <c r="D22" s="676"/>
      <c r="E22" s="676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1380.14</v>
      </c>
      <c r="D24" s="87">
        <f t="shared" ref="D24:D43" si="0">(C24-$C$46)/$C$46</f>
        <v>-7.1924488099566492E-3</v>
      </c>
      <c r="E24" s="53"/>
    </row>
    <row r="25" spans="1:5" ht="15.75" customHeight="1" x14ac:dyDescent="0.3">
      <c r="C25" s="95">
        <v>1395.51</v>
      </c>
      <c r="D25" s="88">
        <f t="shared" si="0"/>
        <v>3.8640034787900406E-3</v>
      </c>
      <c r="E25" s="53"/>
    </row>
    <row r="26" spans="1:5" ht="15.75" customHeight="1" x14ac:dyDescent="0.3">
      <c r="C26" s="95">
        <v>1396.18</v>
      </c>
      <c r="D26" s="88">
        <f t="shared" si="0"/>
        <v>4.3459698440119756E-3</v>
      </c>
      <c r="E26" s="53"/>
    </row>
    <row r="27" spans="1:5" ht="15.75" customHeight="1" x14ac:dyDescent="0.3">
      <c r="C27" s="95">
        <v>1381.24</v>
      </c>
      <c r="D27" s="88">
        <f t="shared" si="0"/>
        <v>-6.4011607476521315E-3</v>
      </c>
      <c r="E27" s="53"/>
    </row>
    <row r="28" spans="1:5" ht="15.75" customHeight="1" x14ac:dyDescent="0.3">
      <c r="C28" s="95">
        <v>1363.52</v>
      </c>
      <c r="D28" s="88">
        <f t="shared" si="0"/>
        <v>-1.9148092078595073E-2</v>
      </c>
      <c r="E28" s="53"/>
    </row>
    <row r="29" spans="1:5" ht="15.75" customHeight="1" x14ac:dyDescent="0.3">
      <c r="C29" s="95">
        <v>1392.54</v>
      </c>
      <c r="D29" s="88">
        <f t="shared" si="0"/>
        <v>1.7275257105676461E-3</v>
      </c>
      <c r="E29" s="53"/>
    </row>
    <row r="30" spans="1:5" ht="15.75" customHeight="1" x14ac:dyDescent="0.3">
      <c r="C30" s="95">
        <v>1375.45</v>
      </c>
      <c r="D30" s="88">
        <f t="shared" si="0"/>
        <v>-1.0566213366509867E-2</v>
      </c>
      <c r="E30" s="53"/>
    </row>
    <row r="31" spans="1:5" ht="15.75" customHeight="1" x14ac:dyDescent="0.3">
      <c r="C31" s="95">
        <v>1384.91</v>
      </c>
      <c r="D31" s="88">
        <f t="shared" si="0"/>
        <v>-3.7611360306904237E-3</v>
      </c>
      <c r="E31" s="53"/>
    </row>
    <row r="32" spans="1:5" ht="15.75" customHeight="1" x14ac:dyDescent="0.3">
      <c r="C32" s="95">
        <v>1392.26</v>
      </c>
      <c r="D32" s="88">
        <f t="shared" si="0"/>
        <v>1.5261069310719536E-3</v>
      </c>
      <c r="E32" s="53"/>
    </row>
    <row r="33" spans="1:7" ht="15.75" customHeight="1" x14ac:dyDescent="0.3">
      <c r="C33" s="95">
        <v>1397.38</v>
      </c>
      <c r="D33" s="88">
        <f t="shared" si="0"/>
        <v>5.2091931847079173E-3</v>
      </c>
      <c r="E33" s="53"/>
    </row>
    <row r="34" spans="1:7" ht="15.75" customHeight="1" x14ac:dyDescent="0.3">
      <c r="C34" s="95">
        <v>1387.65</v>
      </c>
      <c r="D34" s="88">
        <f t="shared" si="0"/>
        <v>-1.7901094027680917E-3</v>
      </c>
      <c r="E34" s="53"/>
    </row>
    <row r="35" spans="1:7" ht="15.75" customHeight="1" x14ac:dyDescent="0.3">
      <c r="C35" s="95">
        <v>1370.08</v>
      </c>
      <c r="D35" s="88">
        <f t="shared" si="0"/>
        <v>-1.4429137816124144E-2</v>
      </c>
      <c r="E35" s="53"/>
    </row>
    <row r="36" spans="1:7" ht="15.75" customHeight="1" x14ac:dyDescent="0.3">
      <c r="C36" s="95">
        <v>1399.79</v>
      </c>
      <c r="D36" s="88">
        <f t="shared" si="0"/>
        <v>6.9428333939387634E-3</v>
      </c>
      <c r="E36" s="53"/>
    </row>
    <row r="37" spans="1:7" ht="15.75" customHeight="1" x14ac:dyDescent="0.3">
      <c r="C37" s="95">
        <v>1388.68</v>
      </c>
      <c r="D37" s="88">
        <f t="shared" si="0"/>
        <v>-1.049176035337456E-3</v>
      </c>
      <c r="E37" s="53"/>
    </row>
    <row r="38" spans="1:7" ht="15.75" customHeight="1" x14ac:dyDescent="0.3">
      <c r="C38" s="95">
        <v>1419.27</v>
      </c>
      <c r="D38" s="88">
        <f t="shared" si="0"/>
        <v>2.0955825624569033E-2</v>
      </c>
      <c r="E38" s="53"/>
    </row>
    <row r="39" spans="1:7" ht="15.75" customHeight="1" x14ac:dyDescent="0.3">
      <c r="C39" s="95">
        <v>1398.8</v>
      </c>
      <c r="D39" s="88">
        <f t="shared" si="0"/>
        <v>6.2306741378646315E-3</v>
      </c>
      <c r="E39" s="53"/>
    </row>
    <row r="40" spans="1:7" ht="15.75" customHeight="1" x14ac:dyDescent="0.3">
      <c r="C40" s="95">
        <v>1395.75</v>
      </c>
      <c r="D40" s="88">
        <f t="shared" si="0"/>
        <v>4.0366481469292287E-3</v>
      </c>
      <c r="E40" s="53"/>
    </row>
    <row r="41" spans="1:7" ht="15.75" customHeight="1" x14ac:dyDescent="0.3">
      <c r="C41" s="95">
        <v>1406.44</v>
      </c>
      <c r="D41" s="88">
        <f t="shared" si="0"/>
        <v>1.1726529406961991E-2</v>
      </c>
      <c r="E41" s="53"/>
    </row>
    <row r="42" spans="1:7" ht="15.75" customHeight="1" x14ac:dyDescent="0.3">
      <c r="C42" s="95">
        <v>1400.71</v>
      </c>
      <c r="D42" s="88">
        <f t="shared" si="0"/>
        <v>7.604637955139013E-3</v>
      </c>
      <c r="E42" s="53"/>
    </row>
    <row r="43" spans="1:7" ht="16.5" customHeight="1" x14ac:dyDescent="0.3">
      <c r="C43" s="96">
        <v>1376.47</v>
      </c>
      <c r="D43" s="89">
        <f t="shared" si="0"/>
        <v>-9.8324735269183575E-3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27802.77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1390.1385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670">
        <f>C46</f>
        <v>1390.1385</v>
      </c>
      <c r="C49" s="93">
        <f>-IF(C46&lt;=80,10%,IF(C46&lt;250,7.5%,5%))</f>
        <v>-0.05</v>
      </c>
      <c r="D49" s="81">
        <f>IF(C46&lt;=80,C46*0.9,IF(C46&lt;250,C46*0.925,C46*0.95))</f>
        <v>1320.6315749999999</v>
      </c>
    </row>
    <row r="50" spans="1:6" ht="17.25" customHeight="1" x14ac:dyDescent="0.3">
      <c r="B50" s="671"/>
      <c r="C50" s="94">
        <f>IF(C46&lt;=80, 10%, IF(C46&lt;250, 7.5%, 5%))</f>
        <v>0.05</v>
      </c>
      <c r="D50" s="81">
        <f>IF(C46&lt;=80, C46*1.1, IF(C46&lt;250, C46*1.075, C46*1.05))</f>
        <v>1459.6454250000002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7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48" zoomScaleNormal="40" zoomScalePageLayoutView="48" workbookViewId="0">
      <selection sqref="A1:I13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78" t="s">
        <v>45</v>
      </c>
      <c r="B1" s="678"/>
      <c r="C1" s="678"/>
      <c r="D1" s="678"/>
      <c r="E1" s="678"/>
      <c r="F1" s="678"/>
      <c r="G1" s="678"/>
      <c r="H1" s="678"/>
      <c r="I1" s="678"/>
    </row>
    <row r="2" spans="1:9" ht="18.75" customHeight="1" x14ac:dyDescent="0.25">
      <c r="A2" s="678"/>
      <c r="B2" s="678"/>
      <c r="C2" s="678"/>
      <c r="D2" s="678"/>
      <c r="E2" s="678"/>
      <c r="F2" s="678"/>
      <c r="G2" s="678"/>
      <c r="H2" s="678"/>
      <c r="I2" s="678"/>
    </row>
    <row r="3" spans="1:9" ht="18.75" customHeight="1" x14ac:dyDescent="0.25">
      <c r="A3" s="678"/>
      <c r="B3" s="678"/>
      <c r="C3" s="678"/>
      <c r="D3" s="678"/>
      <c r="E3" s="678"/>
      <c r="F3" s="678"/>
      <c r="G3" s="678"/>
      <c r="H3" s="678"/>
      <c r="I3" s="678"/>
    </row>
    <row r="4" spans="1:9" ht="18.75" customHeight="1" x14ac:dyDescent="0.25">
      <c r="A4" s="678"/>
      <c r="B4" s="678"/>
      <c r="C4" s="678"/>
      <c r="D4" s="678"/>
      <c r="E4" s="678"/>
      <c r="F4" s="678"/>
      <c r="G4" s="678"/>
      <c r="H4" s="678"/>
      <c r="I4" s="678"/>
    </row>
    <row r="5" spans="1:9" ht="18.75" customHeight="1" x14ac:dyDescent="0.25">
      <c r="A5" s="678"/>
      <c r="B5" s="678"/>
      <c r="C5" s="678"/>
      <c r="D5" s="678"/>
      <c r="E5" s="678"/>
      <c r="F5" s="678"/>
      <c r="G5" s="678"/>
      <c r="H5" s="678"/>
      <c r="I5" s="678"/>
    </row>
    <row r="6" spans="1:9" ht="18.75" customHeight="1" x14ac:dyDescent="0.25">
      <c r="A6" s="678"/>
      <c r="B6" s="678"/>
      <c r="C6" s="678"/>
      <c r="D6" s="678"/>
      <c r="E6" s="678"/>
      <c r="F6" s="678"/>
      <c r="G6" s="678"/>
      <c r="H6" s="678"/>
      <c r="I6" s="678"/>
    </row>
    <row r="7" spans="1:9" ht="18.75" customHeight="1" x14ac:dyDescent="0.25">
      <c r="A7" s="678"/>
      <c r="B7" s="678"/>
      <c r="C7" s="678"/>
      <c r="D7" s="678"/>
      <c r="E7" s="678"/>
      <c r="F7" s="678"/>
      <c r="G7" s="678"/>
      <c r="H7" s="678"/>
      <c r="I7" s="678"/>
    </row>
    <row r="8" spans="1:9" x14ac:dyDescent="0.25">
      <c r="A8" s="679" t="s">
        <v>46</v>
      </c>
      <c r="B8" s="679"/>
      <c r="C8" s="679"/>
      <c r="D8" s="679"/>
      <c r="E8" s="679"/>
      <c r="F8" s="679"/>
      <c r="G8" s="679"/>
      <c r="H8" s="679"/>
      <c r="I8" s="679"/>
    </row>
    <row r="9" spans="1:9" x14ac:dyDescent="0.25">
      <c r="A9" s="679"/>
      <c r="B9" s="679"/>
      <c r="C9" s="679"/>
      <c r="D9" s="679"/>
      <c r="E9" s="679"/>
      <c r="F9" s="679"/>
      <c r="G9" s="679"/>
      <c r="H9" s="679"/>
      <c r="I9" s="679"/>
    </row>
    <row r="10" spans="1:9" x14ac:dyDescent="0.25">
      <c r="A10" s="679"/>
      <c r="B10" s="679"/>
      <c r="C10" s="679"/>
      <c r="D10" s="679"/>
      <c r="E10" s="679"/>
      <c r="F10" s="679"/>
      <c r="G10" s="679"/>
      <c r="H10" s="679"/>
      <c r="I10" s="679"/>
    </row>
    <row r="11" spans="1:9" x14ac:dyDescent="0.25">
      <c r="A11" s="679"/>
      <c r="B11" s="679"/>
      <c r="C11" s="679"/>
      <c r="D11" s="679"/>
      <c r="E11" s="679"/>
      <c r="F11" s="679"/>
      <c r="G11" s="679"/>
      <c r="H11" s="679"/>
      <c r="I11" s="679"/>
    </row>
    <row r="12" spans="1:9" x14ac:dyDescent="0.25">
      <c r="A12" s="679"/>
      <c r="B12" s="679"/>
      <c r="C12" s="679"/>
      <c r="D12" s="679"/>
      <c r="E12" s="679"/>
      <c r="F12" s="679"/>
      <c r="G12" s="679"/>
      <c r="H12" s="679"/>
      <c r="I12" s="679"/>
    </row>
    <row r="13" spans="1:9" x14ac:dyDescent="0.25">
      <c r="A13" s="679"/>
      <c r="B13" s="679"/>
      <c r="C13" s="679"/>
      <c r="D13" s="679"/>
      <c r="E13" s="679"/>
      <c r="F13" s="679"/>
      <c r="G13" s="679"/>
      <c r="H13" s="679"/>
      <c r="I13" s="679"/>
    </row>
    <row r="14" spans="1:9" x14ac:dyDescent="0.25">
      <c r="A14" s="679"/>
      <c r="B14" s="679"/>
      <c r="C14" s="679"/>
      <c r="D14" s="679"/>
      <c r="E14" s="679"/>
      <c r="F14" s="679"/>
      <c r="G14" s="679"/>
      <c r="H14" s="679"/>
      <c r="I14" s="679"/>
    </row>
    <row r="15" spans="1:9" ht="19.5" customHeight="1" x14ac:dyDescent="0.3">
      <c r="A15" s="98"/>
    </row>
    <row r="16" spans="1:9" ht="19.5" customHeight="1" x14ac:dyDescent="0.3">
      <c r="A16" s="711" t="s">
        <v>31</v>
      </c>
      <c r="B16" s="712"/>
      <c r="C16" s="712"/>
      <c r="D16" s="712"/>
      <c r="E16" s="712"/>
      <c r="F16" s="712"/>
      <c r="G16" s="712"/>
      <c r="H16" s="713"/>
    </row>
    <row r="17" spans="1:14" ht="20.25" customHeight="1" x14ac:dyDescent="0.25">
      <c r="A17" s="714" t="s">
        <v>47</v>
      </c>
      <c r="B17" s="714"/>
      <c r="C17" s="714"/>
      <c r="D17" s="714"/>
      <c r="E17" s="714"/>
      <c r="F17" s="714"/>
      <c r="G17" s="714"/>
      <c r="H17" s="714"/>
    </row>
    <row r="18" spans="1:14" ht="26.25" customHeight="1" x14ac:dyDescent="0.4">
      <c r="A18" s="100" t="s">
        <v>33</v>
      </c>
      <c r="B18" s="710" t="s">
        <v>5</v>
      </c>
      <c r="C18" s="710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715" t="s">
        <v>137</v>
      </c>
      <c r="C20" s="715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715" t="s">
        <v>11</v>
      </c>
      <c r="C21" s="715"/>
      <c r="D21" s="715"/>
      <c r="E21" s="715"/>
      <c r="F21" s="715"/>
      <c r="G21" s="715"/>
      <c r="H21" s="715"/>
      <c r="I21" s="104"/>
    </row>
    <row r="22" spans="1:14" ht="26.25" customHeight="1" x14ac:dyDescent="0.4">
      <c r="A22" s="100" t="s">
        <v>37</v>
      </c>
      <c r="B22" s="105">
        <v>43278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43285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710" t="s">
        <v>131</v>
      </c>
      <c r="C26" s="710"/>
    </row>
    <row r="27" spans="1:14" ht="26.25" customHeight="1" x14ac:dyDescent="0.4">
      <c r="A27" s="109" t="s">
        <v>48</v>
      </c>
      <c r="B27" s="716" t="s">
        <v>132</v>
      </c>
      <c r="C27" s="716"/>
    </row>
    <row r="28" spans="1:14" ht="27" customHeight="1" x14ac:dyDescent="0.4">
      <c r="A28" s="109" t="s">
        <v>6</v>
      </c>
      <c r="B28" s="110">
        <v>98.9</v>
      </c>
    </row>
    <row r="29" spans="1:14" s="14" customFormat="1" ht="27" customHeight="1" x14ac:dyDescent="0.4">
      <c r="A29" s="109" t="s">
        <v>49</v>
      </c>
      <c r="B29" s="111">
        <v>0</v>
      </c>
      <c r="C29" s="686" t="s">
        <v>50</v>
      </c>
      <c r="D29" s="687"/>
      <c r="E29" s="687"/>
      <c r="F29" s="687"/>
      <c r="G29" s="688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98.9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689" t="s">
        <v>53</v>
      </c>
      <c r="D31" s="690"/>
      <c r="E31" s="690"/>
      <c r="F31" s="690"/>
      <c r="G31" s="690"/>
      <c r="H31" s="691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689" t="s">
        <v>55</v>
      </c>
      <c r="D32" s="690"/>
      <c r="E32" s="690"/>
      <c r="F32" s="690"/>
      <c r="G32" s="690"/>
      <c r="H32" s="691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692" t="s">
        <v>59</v>
      </c>
      <c r="E36" s="717"/>
      <c r="F36" s="692" t="s">
        <v>60</v>
      </c>
      <c r="G36" s="693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3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25</v>
      </c>
      <c r="C38" s="131">
        <v>1</v>
      </c>
      <c r="D38" s="132">
        <v>37429080</v>
      </c>
      <c r="E38" s="133">
        <f>IF(ISBLANK(D38),"-",$D$48/$D$45*D38)</f>
        <v>37022653.536730111</v>
      </c>
      <c r="F38" s="132">
        <v>36443034</v>
      </c>
      <c r="G38" s="134">
        <f>IF(ISBLANK(F38),"-",$D$48/$F$45*F38)</f>
        <v>37162179.990654714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37399019</v>
      </c>
      <c r="E39" s="138">
        <f>IF(ISBLANK(D39),"-",$D$48/$D$45*D39)</f>
        <v>36992918.956345886</v>
      </c>
      <c r="F39" s="137">
        <v>36626879</v>
      </c>
      <c r="G39" s="139">
        <f>IF(ISBLANK(F39),"-",$D$48/$F$45*F39)</f>
        <v>37349652.882741086</v>
      </c>
      <c r="I39" s="694">
        <f>ABS((F43/D43*D42)-F42)/D42</f>
        <v>4.4529409924464825E-3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37529296</v>
      </c>
      <c r="E40" s="138">
        <f>IF(ISBLANK(D40),"-",$D$48/$D$45*D40)</f>
        <v>37121781.333802253</v>
      </c>
      <c r="F40" s="137">
        <v>36417081</v>
      </c>
      <c r="G40" s="139">
        <f>IF(ISBLANK(F40),"-",$D$48/$F$45*F40)</f>
        <v>37135714.848995611</v>
      </c>
      <c r="I40" s="694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37452465</v>
      </c>
      <c r="E42" s="148">
        <f>AVERAGE(E38:E41)</f>
        <v>37045784.608959414</v>
      </c>
      <c r="F42" s="147">
        <f>AVERAGE(F38:F41)</f>
        <v>36495664.666666664</v>
      </c>
      <c r="G42" s="149">
        <f>AVERAGE(G38:G41)</f>
        <v>37215849.24079714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23</v>
      </c>
      <c r="E43" s="140"/>
      <c r="F43" s="152">
        <v>22.31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23</v>
      </c>
      <c r="E44" s="155"/>
      <c r="F44" s="154">
        <f>F43*$B$34</f>
        <v>22.31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208.33333333333334</v>
      </c>
      <c r="C45" s="153" t="s">
        <v>77</v>
      </c>
      <c r="D45" s="157">
        <f>D44*$B$30/100</f>
        <v>22.747000000000003</v>
      </c>
      <c r="E45" s="158"/>
      <c r="F45" s="157">
        <f>F44*$B$30/100</f>
        <v>22.064589999999999</v>
      </c>
      <c r="H45" s="150"/>
    </row>
    <row r="46" spans="1:14" ht="19.5" customHeight="1" x14ac:dyDescent="0.3">
      <c r="A46" s="680" t="s">
        <v>78</v>
      </c>
      <c r="B46" s="681"/>
      <c r="C46" s="153" t="s">
        <v>79</v>
      </c>
      <c r="D46" s="159">
        <f>D45/$B$45</f>
        <v>0.10918560000000001</v>
      </c>
      <c r="E46" s="160"/>
      <c r="F46" s="161">
        <f>F45/$B$45</f>
        <v>0.10591003199999999</v>
      </c>
      <c r="H46" s="150"/>
    </row>
    <row r="47" spans="1:14" ht="27" customHeight="1" x14ac:dyDescent="0.4">
      <c r="A47" s="682"/>
      <c r="B47" s="683"/>
      <c r="C47" s="162" t="s">
        <v>80</v>
      </c>
      <c r="D47" s="163">
        <v>0.108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22.5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22.5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37130816.924878277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3.4001045064486575E-3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film-coated tablets containsDolutegravir (as Dolutegravir sodium) 50mg/lamivudine USP 300 mg,Tenofovir disoproxil fumarate (equivalent to 245 mg of tenofovir disoproxil) 300 mg.</v>
      </c>
    </row>
    <row r="56" spans="1:12" ht="26.25" customHeight="1" x14ac:dyDescent="0.4">
      <c r="A56" s="177" t="s">
        <v>87</v>
      </c>
      <c r="B56" s="178">
        <v>300</v>
      </c>
      <c r="C56" s="99" t="str">
        <f>B20</f>
        <v>Lamivudine</v>
      </c>
      <c r="H56" s="179"/>
    </row>
    <row r="57" spans="1:12" ht="18.75" x14ac:dyDescent="0.3">
      <c r="A57" s="176" t="s">
        <v>88</v>
      </c>
      <c r="B57" s="247">
        <f>Uniformity!C46</f>
        <v>1390.1385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3</v>
      </c>
      <c r="C60" s="697" t="s">
        <v>94</v>
      </c>
      <c r="D60" s="700">
        <v>1043.2</v>
      </c>
      <c r="E60" s="182">
        <v>1</v>
      </c>
      <c r="F60" s="183">
        <v>35683144</v>
      </c>
      <c r="G60" s="248">
        <f>IF(ISBLANK(F60),"-",(F60/$D$50*$D$47*$B$68)*($B$57/$D$60))</f>
        <v>288.13871780142438</v>
      </c>
      <c r="H60" s="266">
        <f t="shared" ref="H60:H71" si="0">IF(ISBLANK(F60),"-",(G60/$B$56)*100)</f>
        <v>96.046239267141459</v>
      </c>
      <c r="L60" s="112"/>
    </row>
    <row r="61" spans="1:12" s="14" customFormat="1" ht="26.25" customHeight="1" x14ac:dyDescent="0.4">
      <c r="A61" s="124" t="s">
        <v>95</v>
      </c>
      <c r="B61" s="125">
        <v>25</v>
      </c>
      <c r="C61" s="698"/>
      <c r="D61" s="701"/>
      <c r="E61" s="184">
        <v>2</v>
      </c>
      <c r="F61" s="137">
        <v>35698544</v>
      </c>
      <c r="G61" s="249">
        <f>IF(ISBLANK(F61),"-",(F61/$D$50*$D$47*$B$68)*($B$57/$D$60))</f>
        <v>288.26307164911623</v>
      </c>
      <c r="H61" s="267">
        <f t="shared" si="0"/>
        <v>96.0876905497054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698"/>
      <c r="D62" s="701"/>
      <c r="E62" s="184">
        <v>3</v>
      </c>
      <c r="F62" s="185">
        <v>35730101</v>
      </c>
      <c r="G62" s="249">
        <f>IF(ISBLANK(F62),"-",(F62/$D$50*$D$47*$B$68)*($B$57/$D$60))</f>
        <v>288.51789206285724</v>
      </c>
      <c r="H62" s="267">
        <f t="shared" si="0"/>
        <v>96.172630687619076</v>
      </c>
      <c r="L62" s="112"/>
    </row>
    <row r="63" spans="1:12" ht="27" customHeight="1" x14ac:dyDescent="0.4">
      <c r="A63" s="124" t="s">
        <v>97</v>
      </c>
      <c r="B63" s="125">
        <v>1</v>
      </c>
      <c r="C63" s="707"/>
      <c r="D63" s="702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697" t="s">
        <v>99</v>
      </c>
      <c r="D64" s="700"/>
      <c r="E64" s="182">
        <v>1</v>
      </c>
      <c r="F64" s="183"/>
      <c r="G64" s="248" t="str">
        <f>IF(ISBLANK(F64),"-",(F64/$D$50*$D$47*$B$68)*($B$57/$D$64))</f>
        <v>-</v>
      </c>
      <c r="H64" s="266" t="str">
        <f t="shared" si="0"/>
        <v>-</v>
      </c>
    </row>
    <row r="65" spans="1:8" ht="26.25" customHeight="1" x14ac:dyDescent="0.4">
      <c r="A65" s="124" t="s">
        <v>100</v>
      </c>
      <c r="B65" s="125">
        <v>1</v>
      </c>
      <c r="C65" s="698"/>
      <c r="D65" s="701"/>
      <c r="E65" s="184">
        <v>2</v>
      </c>
      <c r="F65" s="137"/>
      <c r="G65" s="249" t="str">
        <f>IF(ISBLANK(F65),"-",(F65/$D$50*$D$47*$B$68)*($B$57/$D$64))</f>
        <v>-</v>
      </c>
      <c r="H65" s="267" t="str">
        <f t="shared" si="0"/>
        <v>-</v>
      </c>
    </row>
    <row r="66" spans="1:8" ht="26.25" customHeight="1" x14ac:dyDescent="0.4">
      <c r="A66" s="124" t="s">
        <v>101</v>
      </c>
      <c r="B66" s="125">
        <v>1</v>
      </c>
      <c r="C66" s="698"/>
      <c r="D66" s="701"/>
      <c r="E66" s="184">
        <v>3</v>
      </c>
      <c r="F66" s="137"/>
      <c r="G66" s="249" t="str">
        <f>IF(ISBLANK(F66),"-",(F66/$D$50*$D$47*$B$68)*($B$57/$D$64))</f>
        <v>-</v>
      </c>
      <c r="H66" s="267" t="str">
        <f t="shared" si="0"/>
        <v>-</v>
      </c>
    </row>
    <row r="67" spans="1:8" ht="27" customHeight="1" x14ac:dyDescent="0.4">
      <c r="A67" s="124" t="s">
        <v>102</v>
      </c>
      <c r="B67" s="125">
        <v>1</v>
      </c>
      <c r="C67" s="707"/>
      <c r="D67" s="702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2083.3333333333335</v>
      </c>
      <c r="C68" s="697" t="s">
        <v>104</v>
      </c>
      <c r="D68" s="700">
        <v>1039.8699999999999</v>
      </c>
      <c r="E68" s="182">
        <v>1</v>
      </c>
      <c r="F68" s="183">
        <v>35520250</v>
      </c>
      <c r="G68" s="248">
        <f>IF(ISBLANK(F68),"-",(F68/$D$50*$D$47*$B$68)*($B$57/$D$68))</f>
        <v>287.74186209103965</v>
      </c>
      <c r="H68" s="267">
        <f t="shared" si="0"/>
        <v>95.913954030346545</v>
      </c>
    </row>
    <row r="69" spans="1:8" ht="27" customHeight="1" x14ac:dyDescent="0.4">
      <c r="A69" s="172" t="s">
        <v>105</v>
      </c>
      <c r="B69" s="189">
        <f>(D47*B68)/B56*B57</f>
        <v>1042.603875</v>
      </c>
      <c r="C69" s="698"/>
      <c r="D69" s="701"/>
      <c r="E69" s="184">
        <v>2</v>
      </c>
      <c r="F69" s="137">
        <v>35408548</v>
      </c>
      <c r="G69" s="249">
        <f>IF(ISBLANK(F69),"-",(F69/$D$50*$D$47*$B$68)*($B$57/$D$68))</f>
        <v>286.8369883505876</v>
      </c>
      <c r="H69" s="267">
        <f t="shared" si="0"/>
        <v>95.612329450195858</v>
      </c>
    </row>
    <row r="70" spans="1:8" ht="26.25" customHeight="1" x14ac:dyDescent="0.4">
      <c r="A70" s="703" t="s">
        <v>78</v>
      </c>
      <c r="B70" s="704"/>
      <c r="C70" s="698"/>
      <c r="D70" s="701"/>
      <c r="E70" s="184">
        <v>3</v>
      </c>
      <c r="F70" s="137">
        <v>35485277</v>
      </c>
      <c r="G70" s="249">
        <f>IF(ISBLANK(F70),"-",(F70/$D$50*$D$47*$B$68)*($B$57/$D$68))</f>
        <v>287.45855338282649</v>
      </c>
      <c r="H70" s="267">
        <f t="shared" si="0"/>
        <v>95.819517794275498</v>
      </c>
    </row>
    <row r="71" spans="1:8" ht="27" customHeight="1" x14ac:dyDescent="0.4">
      <c r="A71" s="705"/>
      <c r="B71" s="706"/>
      <c r="C71" s="699"/>
      <c r="D71" s="702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287.82618088964193</v>
      </c>
      <c r="H72" s="269">
        <f>AVERAGE(H60:H71)</f>
        <v>95.942060296547311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2.1348150045204903E-3</v>
      </c>
      <c r="H73" s="253">
        <f>STDEV(H60:H71)/H72</f>
        <v>2.1348150045204985E-3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6</v>
      </c>
      <c r="H74" s="196">
        <f>COUNT(H60:H71)</f>
        <v>6</v>
      </c>
    </row>
    <row r="76" spans="1:8" ht="26.25" customHeight="1" x14ac:dyDescent="0.4">
      <c r="A76" s="108" t="s">
        <v>106</v>
      </c>
      <c r="B76" s="197" t="s">
        <v>107</v>
      </c>
      <c r="C76" s="684" t="str">
        <f>B26</f>
        <v>LAMIVUDINE</v>
      </c>
      <c r="D76" s="684"/>
      <c r="E76" s="198" t="s">
        <v>108</v>
      </c>
      <c r="F76" s="198"/>
      <c r="G76" s="285">
        <f>H72</f>
        <v>95.942060296547311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718" t="str">
        <f>B26</f>
        <v>LAMIVUDINE</v>
      </c>
      <c r="C79" s="718"/>
    </row>
    <row r="80" spans="1:8" ht="26.25" customHeight="1" x14ac:dyDescent="0.4">
      <c r="A80" s="109" t="s">
        <v>48</v>
      </c>
      <c r="B80" s="718" t="str">
        <f>B27</f>
        <v>L3-12</v>
      </c>
      <c r="C80" s="718"/>
    </row>
    <row r="81" spans="1:12" ht="27" customHeight="1" x14ac:dyDescent="0.4">
      <c r="A81" s="109" t="s">
        <v>6</v>
      </c>
      <c r="B81" s="201">
        <f>B28</f>
        <v>98.9</v>
      </c>
    </row>
    <row r="82" spans="1:12" s="14" customFormat="1" ht="27" customHeight="1" x14ac:dyDescent="0.4">
      <c r="A82" s="109" t="s">
        <v>49</v>
      </c>
      <c r="B82" s="111">
        <v>0</v>
      </c>
      <c r="C82" s="686" t="s">
        <v>50</v>
      </c>
      <c r="D82" s="687"/>
      <c r="E82" s="687"/>
      <c r="F82" s="687"/>
      <c r="G82" s="688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98.9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689" t="s">
        <v>111</v>
      </c>
      <c r="D84" s="690"/>
      <c r="E84" s="690"/>
      <c r="F84" s="690"/>
      <c r="G84" s="690"/>
      <c r="H84" s="691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689" t="s">
        <v>112</v>
      </c>
      <c r="D85" s="690"/>
      <c r="E85" s="690"/>
      <c r="F85" s="690"/>
      <c r="G85" s="690"/>
      <c r="H85" s="691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2" t="s">
        <v>59</v>
      </c>
      <c r="E89" s="203"/>
      <c r="F89" s="692" t="s">
        <v>60</v>
      </c>
      <c r="G89" s="693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>
        <v>2550834</v>
      </c>
      <c r="E91" s="133">
        <f>IF(ISBLANK(D91),"-",$D$101/$D$98*D91)</f>
        <v>2669155.8085855297</v>
      </c>
      <c r="F91" s="132">
        <v>2650171</v>
      </c>
      <c r="G91" s="134">
        <f>IF(ISBLANK(F91),"-",$D$101/$F$98*F91)</f>
        <v>2683135.1940535833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2531271</v>
      </c>
      <c r="E92" s="138">
        <f>IF(ISBLANK(D92),"-",$D$101/$D$98*D92)</f>
        <v>2648685.3682968402</v>
      </c>
      <c r="F92" s="137">
        <v>2645093</v>
      </c>
      <c r="G92" s="139">
        <f>IF(ISBLANK(F92),"-",$D$101/$F$98*F92)</f>
        <v>2677994.0312699731</v>
      </c>
      <c r="I92" s="694">
        <f>ABS((F96/D96*D95)-F95)/D95</f>
        <v>1.0382138583497683E-2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2522929</v>
      </c>
      <c r="E93" s="138">
        <f>IF(ISBLANK(D93),"-",$D$101/$D$98*D93)</f>
        <v>2639956.4201350939</v>
      </c>
      <c r="F93" s="137">
        <v>2643723</v>
      </c>
      <c r="G93" s="139">
        <f>IF(ISBLANK(F93),"-",$D$101/$F$98*F93)</f>
        <v>2676606.990503225</v>
      </c>
      <c r="I93" s="694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2535011.3333333335</v>
      </c>
      <c r="E95" s="148">
        <f>AVERAGE(E91:E94)</f>
        <v>2652599.1990058213</v>
      </c>
      <c r="F95" s="211">
        <f>AVERAGE(F91:F94)</f>
        <v>2646329</v>
      </c>
      <c r="G95" s="212">
        <f>AVERAGE(G91:G94)</f>
        <v>2679245.405275594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32.21</v>
      </c>
      <c r="E96" s="140"/>
      <c r="F96" s="152">
        <v>33.29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32.21</v>
      </c>
      <c r="E97" s="155"/>
      <c r="F97" s="154">
        <f>F96*$B$87</f>
        <v>33.29</v>
      </c>
    </row>
    <row r="98" spans="1:10" ht="19.5" customHeight="1" x14ac:dyDescent="0.3">
      <c r="A98" s="124" t="s">
        <v>76</v>
      </c>
      <c r="B98" s="217">
        <f>(B97/B96)*(B95/B94)*(B93/B92)*(B91/B90)*B89</f>
        <v>100</v>
      </c>
      <c r="C98" s="215" t="s">
        <v>115</v>
      </c>
      <c r="D98" s="218">
        <f>D97*$B$83/100</f>
        <v>31.855690000000003</v>
      </c>
      <c r="E98" s="158"/>
      <c r="F98" s="157">
        <f>F97*$B$83/100</f>
        <v>32.923810000000003</v>
      </c>
    </row>
    <row r="99" spans="1:10" ht="19.5" customHeight="1" x14ac:dyDescent="0.3">
      <c r="A99" s="680" t="s">
        <v>78</v>
      </c>
      <c r="B99" s="695"/>
      <c r="C99" s="215" t="s">
        <v>116</v>
      </c>
      <c r="D99" s="219">
        <f>D98/$B$98</f>
        <v>0.31855690000000003</v>
      </c>
      <c r="E99" s="158"/>
      <c r="F99" s="161">
        <f>F98/$B$98</f>
        <v>0.32923810000000003</v>
      </c>
      <c r="G99" s="220"/>
      <c r="H99" s="150"/>
    </row>
    <row r="100" spans="1:10" ht="19.5" customHeight="1" x14ac:dyDescent="0.3">
      <c r="A100" s="682"/>
      <c r="B100" s="696"/>
      <c r="C100" s="215" t="s">
        <v>80</v>
      </c>
      <c r="D100" s="221">
        <f>$B$56/$B$116</f>
        <v>0.33333333333333331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33.333333333333329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33.333333333333329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2665922.3021407076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6.5787149050273459E-3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2670676</v>
      </c>
      <c r="E108" s="250">
        <f t="shared" ref="E108:E113" si="1">IF(ISBLANK(D108),"-",D108/$D$103*$D$100*$B$116)</f>
        <v>300.53494033064749</v>
      </c>
      <c r="F108" s="277">
        <f t="shared" ref="F108:F113" si="2">IF(ISBLANK(D108), "-", (E108/$B$56)*100)</f>
        <v>100.17831344354917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2626903</v>
      </c>
      <c r="E109" s="251">
        <f t="shared" si="1"/>
        <v>295.60910284864167</v>
      </c>
      <c r="F109" s="278">
        <f t="shared" si="2"/>
        <v>98.536367616213894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2538637</v>
      </c>
      <c r="E110" s="251">
        <f t="shared" si="1"/>
        <v>285.67640526824442</v>
      </c>
      <c r="F110" s="278">
        <f t="shared" si="2"/>
        <v>95.225468422748136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2460405</v>
      </c>
      <c r="E111" s="251">
        <f t="shared" si="1"/>
        <v>276.87284787230902</v>
      </c>
      <c r="F111" s="278">
        <f t="shared" si="2"/>
        <v>92.290949290769674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2578176</v>
      </c>
      <c r="E112" s="251">
        <f t="shared" si="1"/>
        <v>290.12578475333868</v>
      </c>
      <c r="F112" s="278">
        <f t="shared" si="2"/>
        <v>96.70859491777955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2673075</v>
      </c>
      <c r="E113" s="252">
        <f t="shared" si="1"/>
        <v>300.80490318718762</v>
      </c>
      <c r="F113" s="279">
        <f t="shared" si="2"/>
        <v>100.26830106239588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291.60399737672816</v>
      </c>
      <c r="F115" s="281">
        <f>AVERAGE(F108:F113)</f>
        <v>97.201332458909363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34"/>
      <c r="D116" s="258" t="s">
        <v>84</v>
      </c>
      <c r="E116" s="256">
        <f>STDEV(E108:E113)/E115</f>
        <v>3.1978644617434306E-2</v>
      </c>
      <c r="F116" s="235">
        <f>STDEV(F108:F113)/F115</f>
        <v>3.1978644617434354E-2</v>
      </c>
      <c r="I116" s="98"/>
    </row>
    <row r="117" spans="1:10" ht="27" customHeight="1" x14ac:dyDescent="0.4">
      <c r="A117" s="680" t="s">
        <v>78</v>
      </c>
      <c r="B117" s="681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682"/>
      <c r="B118" s="683"/>
      <c r="C118" s="98"/>
      <c r="D118" s="260"/>
      <c r="E118" s="708" t="s">
        <v>123</v>
      </c>
      <c r="F118" s="709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276.87284787230902</v>
      </c>
      <c r="F119" s="282">
        <f>MIN(F108:F113)</f>
        <v>92.290949290769674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300.80490318718762</v>
      </c>
      <c r="F120" s="283">
        <f>MAX(F108:F113)</f>
        <v>100.26830106239588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684" t="str">
        <f>B26</f>
        <v>LAMIVUDINE</v>
      </c>
      <c r="D124" s="684"/>
      <c r="E124" s="198" t="s">
        <v>127</v>
      </c>
      <c r="F124" s="198"/>
      <c r="G124" s="284">
        <f>F115</f>
        <v>97.201332458909363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92.290949290769674</v>
      </c>
      <c r="E125" s="209" t="s">
        <v>130</v>
      </c>
      <c r="F125" s="284">
        <f>MAX(F108:F113)</f>
        <v>100.26830106239588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685" t="s">
        <v>26</v>
      </c>
      <c r="C127" s="685"/>
      <c r="E127" s="204" t="s">
        <v>27</v>
      </c>
      <c r="F127" s="239"/>
      <c r="G127" s="685" t="s">
        <v>28</v>
      </c>
      <c r="H127" s="685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46" zoomScaleNormal="40" zoomScalePageLayoutView="46" workbookViewId="0">
      <selection sqref="A1:I13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78" t="s">
        <v>45</v>
      </c>
      <c r="B1" s="678"/>
      <c r="C1" s="678"/>
      <c r="D1" s="678"/>
      <c r="E1" s="678"/>
      <c r="F1" s="678"/>
      <c r="G1" s="678"/>
      <c r="H1" s="678"/>
      <c r="I1" s="678"/>
    </row>
    <row r="2" spans="1:9" ht="18.75" customHeight="1" x14ac:dyDescent="0.25">
      <c r="A2" s="678"/>
      <c r="B2" s="678"/>
      <c r="C2" s="678"/>
      <c r="D2" s="678"/>
      <c r="E2" s="678"/>
      <c r="F2" s="678"/>
      <c r="G2" s="678"/>
      <c r="H2" s="678"/>
      <c r="I2" s="678"/>
    </row>
    <row r="3" spans="1:9" ht="18.75" customHeight="1" x14ac:dyDescent="0.25">
      <c r="A3" s="678"/>
      <c r="B3" s="678"/>
      <c r="C3" s="678"/>
      <c r="D3" s="678"/>
      <c r="E3" s="678"/>
      <c r="F3" s="678"/>
      <c r="G3" s="678"/>
      <c r="H3" s="678"/>
      <c r="I3" s="678"/>
    </row>
    <row r="4" spans="1:9" ht="18.75" customHeight="1" x14ac:dyDescent="0.25">
      <c r="A4" s="678"/>
      <c r="B4" s="678"/>
      <c r="C4" s="678"/>
      <c r="D4" s="678"/>
      <c r="E4" s="678"/>
      <c r="F4" s="678"/>
      <c r="G4" s="678"/>
      <c r="H4" s="678"/>
      <c r="I4" s="678"/>
    </row>
    <row r="5" spans="1:9" ht="18.75" customHeight="1" x14ac:dyDescent="0.25">
      <c r="A5" s="678"/>
      <c r="B5" s="678"/>
      <c r="C5" s="678"/>
      <c r="D5" s="678"/>
      <c r="E5" s="678"/>
      <c r="F5" s="678"/>
      <c r="G5" s="678"/>
      <c r="H5" s="678"/>
      <c r="I5" s="678"/>
    </row>
    <row r="6" spans="1:9" ht="18.75" customHeight="1" x14ac:dyDescent="0.25">
      <c r="A6" s="678"/>
      <c r="B6" s="678"/>
      <c r="C6" s="678"/>
      <c r="D6" s="678"/>
      <c r="E6" s="678"/>
      <c r="F6" s="678"/>
      <c r="G6" s="678"/>
      <c r="H6" s="678"/>
      <c r="I6" s="678"/>
    </row>
    <row r="7" spans="1:9" ht="18.75" customHeight="1" x14ac:dyDescent="0.25">
      <c r="A7" s="678"/>
      <c r="B7" s="678"/>
      <c r="C7" s="678"/>
      <c r="D7" s="678"/>
      <c r="E7" s="678"/>
      <c r="F7" s="678"/>
      <c r="G7" s="678"/>
      <c r="H7" s="678"/>
      <c r="I7" s="678"/>
    </row>
    <row r="8" spans="1:9" x14ac:dyDescent="0.25">
      <c r="A8" s="679" t="s">
        <v>46</v>
      </c>
      <c r="B8" s="679"/>
      <c r="C8" s="679"/>
      <c r="D8" s="679"/>
      <c r="E8" s="679"/>
      <c r="F8" s="679"/>
      <c r="G8" s="679"/>
      <c r="H8" s="679"/>
      <c r="I8" s="679"/>
    </row>
    <row r="9" spans="1:9" x14ac:dyDescent="0.25">
      <c r="A9" s="679"/>
      <c r="B9" s="679"/>
      <c r="C9" s="679"/>
      <c r="D9" s="679"/>
      <c r="E9" s="679"/>
      <c r="F9" s="679"/>
      <c r="G9" s="679"/>
      <c r="H9" s="679"/>
      <c r="I9" s="679"/>
    </row>
    <row r="10" spans="1:9" x14ac:dyDescent="0.25">
      <c r="A10" s="679"/>
      <c r="B10" s="679"/>
      <c r="C10" s="679"/>
      <c r="D10" s="679"/>
      <c r="E10" s="679"/>
      <c r="F10" s="679"/>
      <c r="G10" s="679"/>
      <c r="H10" s="679"/>
      <c r="I10" s="679"/>
    </row>
    <row r="11" spans="1:9" x14ac:dyDescent="0.25">
      <c r="A11" s="679"/>
      <c r="B11" s="679"/>
      <c r="C11" s="679"/>
      <c r="D11" s="679"/>
      <c r="E11" s="679"/>
      <c r="F11" s="679"/>
      <c r="G11" s="679"/>
      <c r="H11" s="679"/>
      <c r="I11" s="679"/>
    </row>
    <row r="12" spans="1:9" x14ac:dyDescent="0.25">
      <c r="A12" s="679"/>
      <c r="B12" s="679"/>
      <c r="C12" s="679"/>
      <c r="D12" s="679"/>
      <c r="E12" s="679"/>
      <c r="F12" s="679"/>
      <c r="G12" s="679"/>
      <c r="H12" s="679"/>
      <c r="I12" s="679"/>
    </row>
    <row r="13" spans="1:9" x14ac:dyDescent="0.25">
      <c r="A13" s="679"/>
      <c r="B13" s="679"/>
      <c r="C13" s="679"/>
      <c r="D13" s="679"/>
      <c r="E13" s="679"/>
      <c r="F13" s="679"/>
      <c r="G13" s="679"/>
      <c r="H13" s="679"/>
      <c r="I13" s="679"/>
    </row>
    <row r="14" spans="1:9" x14ac:dyDescent="0.25">
      <c r="A14" s="679"/>
      <c r="B14" s="679"/>
      <c r="C14" s="679"/>
      <c r="D14" s="679"/>
      <c r="E14" s="679"/>
      <c r="F14" s="679"/>
      <c r="G14" s="679"/>
      <c r="H14" s="679"/>
      <c r="I14" s="679"/>
    </row>
    <row r="15" spans="1:9" ht="19.5" customHeight="1" x14ac:dyDescent="0.3">
      <c r="A15" s="286"/>
    </row>
    <row r="16" spans="1:9" ht="19.5" customHeight="1" x14ac:dyDescent="0.3">
      <c r="A16" s="711" t="s">
        <v>31</v>
      </c>
      <c r="B16" s="712"/>
      <c r="C16" s="712"/>
      <c r="D16" s="712"/>
      <c r="E16" s="712"/>
      <c r="F16" s="712"/>
      <c r="G16" s="712"/>
      <c r="H16" s="713"/>
    </row>
    <row r="17" spans="1:14" ht="20.25" customHeight="1" x14ac:dyDescent="0.25">
      <c r="A17" s="714" t="s">
        <v>47</v>
      </c>
      <c r="B17" s="714"/>
      <c r="C17" s="714"/>
      <c r="D17" s="714"/>
      <c r="E17" s="714"/>
      <c r="F17" s="714"/>
      <c r="G17" s="714"/>
      <c r="H17" s="714"/>
    </row>
    <row r="18" spans="1:14" ht="26.25" customHeight="1" x14ac:dyDescent="0.4">
      <c r="A18" s="288" t="s">
        <v>33</v>
      </c>
      <c r="B18" s="710" t="s">
        <v>5</v>
      </c>
      <c r="C18" s="710"/>
      <c r="D18" s="434"/>
      <c r="E18" s="289"/>
      <c r="F18" s="290"/>
      <c r="G18" s="290"/>
      <c r="H18" s="290"/>
    </row>
    <row r="19" spans="1:14" ht="26.25" customHeight="1" x14ac:dyDescent="0.4">
      <c r="A19" s="288" t="s">
        <v>34</v>
      </c>
      <c r="B19" s="291" t="s">
        <v>7</v>
      </c>
      <c r="C19" s="443">
        <v>1</v>
      </c>
      <c r="D19" s="290"/>
      <c r="E19" s="290"/>
      <c r="F19" s="290"/>
      <c r="G19" s="290"/>
      <c r="H19" s="290"/>
    </row>
    <row r="20" spans="1:14" ht="26.25" customHeight="1" x14ac:dyDescent="0.4">
      <c r="A20" s="288" t="s">
        <v>35</v>
      </c>
      <c r="B20" s="715" t="s">
        <v>133</v>
      </c>
      <c r="C20" s="715"/>
      <c r="D20" s="290"/>
      <c r="E20" s="290"/>
      <c r="F20" s="290"/>
      <c r="G20" s="290"/>
      <c r="H20" s="290"/>
    </row>
    <row r="21" spans="1:14" ht="26.25" customHeight="1" x14ac:dyDescent="0.4">
      <c r="A21" s="288" t="s">
        <v>36</v>
      </c>
      <c r="B21" s="715" t="s">
        <v>11</v>
      </c>
      <c r="C21" s="715"/>
      <c r="D21" s="715"/>
      <c r="E21" s="715"/>
      <c r="F21" s="715"/>
      <c r="G21" s="715"/>
      <c r="H21" s="715"/>
      <c r="I21" s="292"/>
    </row>
    <row r="22" spans="1:14" ht="26.25" customHeight="1" x14ac:dyDescent="0.4">
      <c r="A22" s="288" t="s">
        <v>37</v>
      </c>
      <c r="B22" s="293">
        <v>43278</v>
      </c>
      <c r="C22" s="290"/>
      <c r="D22" s="290"/>
      <c r="E22" s="290"/>
      <c r="F22" s="290"/>
      <c r="G22" s="290"/>
      <c r="H22" s="290"/>
    </row>
    <row r="23" spans="1:14" ht="26.25" customHeight="1" x14ac:dyDescent="0.4">
      <c r="A23" s="288" t="s">
        <v>38</v>
      </c>
      <c r="B23" s="293">
        <v>43285</v>
      </c>
      <c r="C23" s="290"/>
      <c r="D23" s="290"/>
      <c r="E23" s="290"/>
      <c r="F23" s="290"/>
      <c r="G23" s="290"/>
      <c r="H23" s="290"/>
    </row>
    <row r="24" spans="1:14" ht="18.75" x14ac:dyDescent="0.3">
      <c r="A24" s="288"/>
      <c r="B24" s="294"/>
    </row>
    <row r="25" spans="1:14" ht="18.75" x14ac:dyDescent="0.3">
      <c r="A25" s="295" t="s">
        <v>1</v>
      </c>
      <c r="B25" s="294"/>
    </row>
    <row r="26" spans="1:14" ht="26.25" customHeight="1" x14ac:dyDescent="0.4">
      <c r="A26" s="296" t="s">
        <v>4</v>
      </c>
      <c r="B26" s="710" t="s">
        <v>133</v>
      </c>
      <c r="C26" s="710"/>
    </row>
    <row r="27" spans="1:14" ht="26.25" customHeight="1" x14ac:dyDescent="0.4">
      <c r="A27" s="297" t="s">
        <v>48</v>
      </c>
      <c r="B27" s="716" t="s">
        <v>134</v>
      </c>
      <c r="C27" s="716"/>
    </row>
    <row r="28" spans="1:14" ht="27" customHeight="1" x14ac:dyDescent="0.4">
      <c r="A28" s="297" t="s">
        <v>6</v>
      </c>
      <c r="B28" s="298">
        <v>98.58</v>
      </c>
    </row>
    <row r="29" spans="1:14" s="14" customFormat="1" ht="27" customHeight="1" x14ac:dyDescent="0.4">
      <c r="A29" s="297" t="s">
        <v>49</v>
      </c>
      <c r="B29" s="299">
        <v>0</v>
      </c>
      <c r="C29" s="686" t="s">
        <v>50</v>
      </c>
      <c r="D29" s="687"/>
      <c r="E29" s="687"/>
      <c r="F29" s="687"/>
      <c r="G29" s="688"/>
      <c r="I29" s="300"/>
      <c r="J29" s="300"/>
      <c r="K29" s="300"/>
      <c r="L29" s="300"/>
    </row>
    <row r="30" spans="1:14" s="14" customFormat="1" ht="19.5" customHeight="1" x14ac:dyDescent="0.3">
      <c r="A30" s="297" t="s">
        <v>51</v>
      </c>
      <c r="B30" s="301">
        <f>B28-B29</f>
        <v>98.58</v>
      </c>
      <c r="C30" s="302"/>
      <c r="D30" s="302"/>
      <c r="E30" s="302"/>
      <c r="F30" s="302"/>
      <c r="G30" s="303"/>
      <c r="I30" s="300"/>
      <c r="J30" s="300"/>
      <c r="K30" s="300"/>
      <c r="L30" s="300"/>
    </row>
    <row r="31" spans="1:14" s="14" customFormat="1" ht="27" customHeight="1" x14ac:dyDescent="0.4">
      <c r="A31" s="297" t="s">
        <v>52</v>
      </c>
      <c r="B31" s="304">
        <v>1</v>
      </c>
      <c r="C31" s="689" t="s">
        <v>53</v>
      </c>
      <c r="D31" s="690"/>
      <c r="E31" s="690"/>
      <c r="F31" s="690"/>
      <c r="G31" s="690"/>
      <c r="H31" s="691"/>
      <c r="I31" s="300"/>
      <c r="J31" s="300"/>
      <c r="K31" s="300"/>
      <c r="L31" s="300"/>
    </row>
    <row r="32" spans="1:14" s="14" customFormat="1" ht="27" customHeight="1" x14ac:dyDescent="0.4">
      <c r="A32" s="297" t="s">
        <v>54</v>
      </c>
      <c r="B32" s="304">
        <v>1</v>
      </c>
      <c r="C32" s="689" t="s">
        <v>55</v>
      </c>
      <c r="D32" s="690"/>
      <c r="E32" s="690"/>
      <c r="F32" s="690"/>
      <c r="G32" s="690"/>
      <c r="H32" s="691"/>
      <c r="I32" s="300"/>
      <c r="J32" s="300"/>
      <c r="K32" s="300"/>
      <c r="L32" s="305"/>
      <c r="M32" s="305"/>
      <c r="N32" s="306"/>
    </row>
    <row r="33" spans="1:14" s="14" customFormat="1" ht="17.25" customHeight="1" x14ac:dyDescent="0.3">
      <c r="A33" s="297"/>
      <c r="B33" s="307"/>
      <c r="C33" s="308"/>
      <c r="D33" s="308"/>
      <c r="E33" s="308"/>
      <c r="F33" s="308"/>
      <c r="G33" s="308"/>
      <c r="H33" s="308"/>
      <c r="I33" s="300"/>
      <c r="J33" s="300"/>
      <c r="K33" s="300"/>
      <c r="L33" s="305"/>
      <c r="M33" s="305"/>
      <c r="N33" s="306"/>
    </row>
    <row r="34" spans="1:14" s="14" customFormat="1" ht="18.75" x14ac:dyDescent="0.3">
      <c r="A34" s="297" t="s">
        <v>56</v>
      </c>
      <c r="B34" s="309">
        <f>B31/B32</f>
        <v>1</v>
      </c>
      <c r="C34" s="287" t="s">
        <v>57</v>
      </c>
      <c r="D34" s="287"/>
      <c r="E34" s="287"/>
      <c r="F34" s="287"/>
      <c r="G34" s="287"/>
      <c r="I34" s="300"/>
      <c r="J34" s="300"/>
      <c r="K34" s="300"/>
      <c r="L34" s="305"/>
      <c r="M34" s="305"/>
      <c r="N34" s="306"/>
    </row>
    <row r="35" spans="1:14" s="14" customFormat="1" ht="19.5" customHeight="1" x14ac:dyDescent="0.3">
      <c r="A35" s="297"/>
      <c r="B35" s="301"/>
      <c r="G35" s="287"/>
      <c r="I35" s="300"/>
      <c r="J35" s="300"/>
      <c r="K35" s="300"/>
      <c r="L35" s="305"/>
      <c r="M35" s="305"/>
      <c r="N35" s="306"/>
    </row>
    <row r="36" spans="1:14" s="14" customFormat="1" ht="27" customHeight="1" x14ac:dyDescent="0.4">
      <c r="A36" s="310" t="s">
        <v>58</v>
      </c>
      <c r="B36" s="311">
        <v>25</v>
      </c>
      <c r="C36" s="287"/>
      <c r="D36" s="692" t="s">
        <v>59</v>
      </c>
      <c r="E36" s="717"/>
      <c r="F36" s="692" t="s">
        <v>60</v>
      </c>
      <c r="G36" s="693"/>
      <c r="J36" s="300"/>
      <c r="K36" s="300"/>
      <c r="L36" s="305"/>
      <c r="M36" s="305"/>
      <c r="N36" s="306"/>
    </row>
    <row r="37" spans="1:14" s="14" customFormat="1" ht="27" customHeight="1" x14ac:dyDescent="0.4">
      <c r="A37" s="312" t="s">
        <v>61</v>
      </c>
      <c r="B37" s="313">
        <v>3</v>
      </c>
      <c r="C37" s="314" t="s">
        <v>62</v>
      </c>
      <c r="D37" s="315" t="s">
        <v>63</v>
      </c>
      <c r="E37" s="316" t="s">
        <v>64</v>
      </c>
      <c r="F37" s="315" t="s">
        <v>63</v>
      </c>
      <c r="G37" s="317" t="s">
        <v>64</v>
      </c>
      <c r="I37" s="318" t="s">
        <v>65</v>
      </c>
      <c r="J37" s="300"/>
      <c r="K37" s="300"/>
      <c r="L37" s="305"/>
      <c r="M37" s="305"/>
      <c r="N37" s="306"/>
    </row>
    <row r="38" spans="1:14" s="14" customFormat="1" ht="26.25" customHeight="1" x14ac:dyDescent="0.4">
      <c r="A38" s="312" t="s">
        <v>66</v>
      </c>
      <c r="B38" s="313">
        <v>25</v>
      </c>
      <c r="C38" s="319">
        <v>1</v>
      </c>
      <c r="D38" s="320">
        <v>22557440</v>
      </c>
      <c r="E38" s="321">
        <f>IF(ISBLANK(D38),"-",$D$48/$D$45*D38)</f>
        <v>22872204.224916063</v>
      </c>
      <c r="F38" s="320">
        <v>24879462</v>
      </c>
      <c r="G38" s="322">
        <f>IF(ISBLANK(F38),"-",$D$48/$F$45*F38)</f>
        <v>22943490.289381951</v>
      </c>
      <c r="I38" s="323"/>
      <c r="J38" s="300"/>
      <c r="K38" s="300"/>
      <c r="L38" s="305"/>
      <c r="M38" s="305"/>
      <c r="N38" s="306"/>
    </row>
    <row r="39" spans="1:14" s="14" customFormat="1" ht="26.25" customHeight="1" x14ac:dyDescent="0.4">
      <c r="A39" s="312" t="s">
        <v>67</v>
      </c>
      <c r="B39" s="313">
        <v>1</v>
      </c>
      <c r="C39" s="324">
        <v>2</v>
      </c>
      <c r="D39" s="325">
        <v>22497035</v>
      </c>
      <c r="E39" s="326">
        <f>IF(ISBLANK(D39),"-",$D$48/$D$45*D39)</f>
        <v>22810956.339685913</v>
      </c>
      <c r="F39" s="325">
        <v>24971610</v>
      </c>
      <c r="G39" s="327">
        <f>IF(ISBLANK(F39),"-",$D$48/$F$45*F39)</f>
        <v>23028467.880263377</v>
      </c>
      <c r="I39" s="694">
        <f>ABS((F43/D43*D42)-F42)/D42</f>
        <v>4.6822977099603676E-3</v>
      </c>
      <c r="J39" s="300"/>
      <c r="K39" s="300"/>
      <c r="L39" s="305"/>
      <c r="M39" s="305"/>
      <c r="N39" s="306"/>
    </row>
    <row r="40" spans="1:14" ht="26.25" customHeight="1" x14ac:dyDescent="0.4">
      <c r="A40" s="312" t="s">
        <v>68</v>
      </c>
      <c r="B40" s="313">
        <v>1</v>
      </c>
      <c r="C40" s="324">
        <v>3</v>
      </c>
      <c r="D40" s="325">
        <v>22589826</v>
      </c>
      <c r="E40" s="326">
        <f>IF(ISBLANK(D40),"-",$D$48/$D$45*D40)</f>
        <v>22905042.135868199</v>
      </c>
      <c r="F40" s="325">
        <v>24841334</v>
      </c>
      <c r="G40" s="327">
        <f>IF(ISBLANK(F40),"-",$D$48/$F$45*F40)</f>
        <v>22908329.183496561</v>
      </c>
      <c r="I40" s="694"/>
      <c r="L40" s="305"/>
      <c r="M40" s="305"/>
      <c r="N40" s="328"/>
    </row>
    <row r="41" spans="1:14" ht="27" customHeight="1" x14ac:dyDescent="0.4">
      <c r="A41" s="312" t="s">
        <v>69</v>
      </c>
      <c r="B41" s="313">
        <v>1</v>
      </c>
      <c r="C41" s="329">
        <v>4</v>
      </c>
      <c r="D41" s="330"/>
      <c r="E41" s="331" t="str">
        <f>IF(ISBLANK(D41),"-",$D$48/$D$45*D41)</f>
        <v>-</v>
      </c>
      <c r="F41" s="330"/>
      <c r="G41" s="332" t="str">
        <f>IF(ISBLANK(F41),"-",$D$48/$F$45*F41)</f>
        <v>-</v>
      </c>
      <c r="I41" s="333"/>
      <c r="L41" s="305"/>
      <c r="M41" s="305"/>
      <c r="N41" s="328"/>
    </row>
    <row r="42" spans="1:14" ht="27" customHeight="1" x14ac:dyDescent="0.4">
      <c r="A42" s="312" t="s">
        <v>70</v>
      </c>
      <c r="B42" s="313">
        <v>1</v>
      </c>
      <c r="C42" s="334" t="s">
        <v>71</v>
      </c>
      <c r="D42" s="335">
        <f>AVERAGE(D38:D41)</f>
        <v>22548100.333333332</v>
      </c>
      <c r="E42" s="336">
        <f>AVERAGE(E38:E41)</f>
        <v>22862734.233490061</v>
      </c>
      <c r="F42" s="335">
        <f>AVERAGE(F38:F41)</f>
        <v>24897468.666666668</v>
      </c>
      <c r="G42" s="337">
        <f>AVERAGE(G38:G41)</f>
        <v>22960095.78438063</v>
      </c>
      <c r="H42" s="338"/>
    </row>
    <row r="43" spans="1:14" ht="26.25" customHeight="1" x14ac:dyDescent="0.4">
      <c r="A43" s="312" t="s">
        <v>72</v>
      </c>
      <c r="B43" s="313">
        <v>1</v>
      </c>
      <c r="C43" s="339" t="s">
        <v>73</v>
      </c>
      <c r="D43" s="340">
        <v>22.51</v>
      </c>
      <c r="E43" s="328"/>
      <c r="F43" s="340">
        <v>24.75</v>
      </c>
      <c r="H43" s="338"/>
    </row>
    <row r="44" spans="1:14" ht="26.25" customHeight="1" x14ac:dyDescent="0.4">
      <c r="A44" s="312" t="s">
        <v>74</v>
      </c>
      <c r="B44" s="313">
        <v>1</v>
      </c>
      <c r="C44" s="341" t="s">
        <v>75</v>
      </c>
      <c r="D44" s="342">
        <f>D43*$B$34</f>
        <v>22.51</v>
      </c>
      <c r="E44" s="343"/>
      <c r="F44" s="342">
        <f>F43*$B$34</f>
        <v>24.75</v>
      </c>
      <c r="H44" s="338"/>
    </row>
    <row r="45" spans="1:14" ht="19.5" customHeight="1" x14ac:dyDescent="0.3">
      <c r="A45" s="312" t="s">
        <v>76</v>
      </c>
      <c r="B45" s="344">
        <f>(B44/B43)*(B42/B41)*(B40/B39)*(B38/B37)*B36</f>
        <v>208.33333333333334</v>
      </c>
      <c r="C45" s="341" t="s">
        <v>77</v>
      </c>
      <c r="D45" s="345">
        <f>D44*$B$30/100</f>
        <v>22.190358</v>
      </c>
      <c r="E45" s="346"/>
      <c r="F45" s="345">
        <f>F44*$B$30/100</f>
        <v>24.39855</v>
      </c>
      <c r="H45" s="338"/>
    </row>
    <row r="46" spans="1:14" ht="19.5" customHeight="1" x14ac:dyDescent="0.3">
      <c r="A46" s="680" t="s">
        <v>78</v>
      </c>
      <c r="B46" s="681"/>
      <c r="C46" s="341" t="s">
        <v>79</v>
      </c>
      <c r="D46" s="347">
        <f>D45/$B$45</f>
        <v>0.1065137184</v>
      </c>
      <c r="E46" s="348"/>
      <c r="F46" s="349">
        <f>F45/$B$45</f>
        <v>0.11711304</v>
      </c>
      <c r="H46" s="338"/>
    </row>
    <row r="47" spans="1:14" ht="27" customHeight="1" x14ac:dyDescent="0.4">
      <c r="A47" s="682"/>
      <c r="B47" s="683"/>
      <c r="C47" s="350" t="s">
        <v>80</v>
      </c>
      <c r="D47" s="351">
        <v>0.108</v>
      </c>
      <c r="E47" s="352"/>
      <c r="F47" s="348"/>
      <c r="H47" s="338"/>
    </row>
    <row r="48" spans="1:14" ht="18.75" x14ac:dyDescent="0.3">
      <c r="C48" s="353" t="s">
        <v>81</v>
      </c>
      <c r="D48" s="345">
        <f>D47*$B$45</f>
        <v>22.5</v>
      </c>
      <c r="F48" s="354"/>
      <c r="H48" s="338"/>
    </row>
    <row r="49" spans="1:12" ht="19.5" customHeight="1" x14ac:dyDescent="0.3">
      <c r="C49" s="355" t="s">
        <v>82</v>
      </c>
      <c r="D49" s="356">
        <f>D48/B34</f>
        <v>22.5</v>
      </c>
      <c r="F49" s="354"/>
      <c r="H49" s="338"/>
    </row>
    <row r="50" spans="1:12" ht="18.75" x14ac:dyDescent="0.3">
      <c r="C50" s="310" t="s">
        <v>83</v>
      </c>
      <c r="D50" s="357">
        <f>AVERAGE(E38:E41,G38:G41)</f>
        <v>22911415.008935343</v>
      </c>
      <c r="F50" s="358"/>
      <c r="H50" s="338"/>
    </row>
    <row r="51" spans="1:12" ht="18.75" x14ac:dyDescent="0.3">
      <c r="C51" s="312" t="s">
        <v>84</v>
      </c>
      <c r="D51" s="359">
        <f>STDEV(E38:E41,G38:G41)/D50</f>
        <v>3.1720888653667492E-3</v>
      </c>
      <c r="F51" s="358"/>
      <c r="H51" s="338"/>
    </row>
    <row r="52" spans="1:12" ht="19.5" customHeight="1" x14ac:dyDescent="0.3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7" t="s">
        <v>86</v>
      </c>
      <c r="B55" s="364" t="str">
        <f>B21</f>
        <v>Each film-coated tablets containsDolutegravir (as Dolutegravir sodium) 50mg/lamivudine USP 300 mg,Tenofovir disoproxil fumarate (equivalent to 245 mg of tenofovir disoproxil) 300 mg.</v>
      </c>
    </row>
    <row r="56" spans="1:12" ht="26.25" customHeight="1" x14ac:dyDescent="0.4">
      <c r="A56" s="365" t="s">
        <v>87</v>
      </c>
      <c r="B56" s="366">
        <v>300</v>
      </c>
      <c r="C56" s="287" t="str">
        <f>B20</f>
        <v>TDF</v>
      </c>
      <c r="H56" s="367"/>
    </row>
    <row r="57" spans="1:12" ht="18.75" x14ac:dyDescent="0.3">
      <c r="A57" s="364" t="s">
        <v>88</v>
      </c>
      <c r="B57" s="435">
        <f>Uniformity!C46</f>
        <v>1390.1385</v>
      </c>
      <c r="H57" s="367"/>
    </row>
    <row r="58" spans="1:12" ht="19.5" customHeight="1" x14ac:dyDescent="0.3">
      <c r="H58" s="367"/>
    </row>
    <row r="59" spans="1:12" s="14" customFormat="1" ht="27" customHeight="1" x14ac:dyDescent="0.4">
      <c r="A59" s="310" t="s">
        <v>89</v>
      </c>
      <c r="B59" s="311">
        <v>250</v>
      </c>
      <c r="C59" s="287"/>
      <c r="D59" s="368" t="s">
        <v>90</v>
      </c>
      <c r="E59" s="369" t="s">
        <v>62</v>
      </c>
      <c r="F59" s="369" t="s">
        <v>63</v>
      </c>
      <c r="G59" s="369" t="s">
        <v>91</v>
      </c>
      <c r="H59" s="314" t="s">
        <v>92</v>
      </c>
      <c r="L59" s="300"/>
    </row>
    <row r="60" spans="1:12" s="14" customFormat="1" ht="26.25" customHeight="1" x14ac:dyDescent="0.4">
      <c r="A60" s="312" t="s">
        <v>93</v>
      </c>
      <c r="B60" s="313">
        <v>3</v>
      </c>
      <c r="C60" s="697" t="s">
        <v>94</v>
      </c>
      <c r="D60" s="700">
        <v>1043.2</v>
      </c>
      <c r="E60" s="370">
        <v>1</v>
      </c>
      <c r="F60" s="371">
        <v>22054199</v>
      </c>
      <c r="G60" s="436">
        <f>IF(ISBLANK(F60),"-",(F60/$D$50*$D$47*$B$68)*($B$57/$D$60))</f>
        <v>288.61067331021081</v>
      </c>
      <c r="H60" s="454">
        <f t="shared" ref="H60:H71" si="0">IF(ISBLANK(F60),"-",(G60/$B$56)*100)</f>
        <v>96.203557770070276</v>
      </c>
      <c r="L60" s="300"/>
    </row>
    <row r="61" spans="1:12" s="14" customFormat="1" ht="26.25" customHeight="1" x14ac:dyDescent="0.4">
      <c r="A61" s="312" t="s">
        <v>95</v>
      </c>
      <c r="B61" s="313">
        <v>25</v>
      </c>
      <c r="C61" s="698"/>
      <c r="D61" s="701"/>
      <c r="E61" s="372">
        <v>2</v>
      </c>
      <c r="F61" s="325">
        <v>22059271</v>
      </c>
      <c r="G61" s="437">
        <f>IF(ISBLANK(F61),"-",(F61/$D$50*$D$47*$B$68)*($B$57/$D$60))</f>
        <v>288.67704766980688</v>
      </c>
      <c r="H61" s="455">
        <f t="shared" si="0"/>
        <v>96.225682556602294</v>
      </c>
      <c r="L61" s="300"/>
    </row>
    <row r="62" spans="1:12" s="14" customFormat="1" ht="26.25" customHeight="1" x14ac:dyDescent="0.4">
      <c r="A62" s="312" t="s">
        <v>96</v>
      </c>
      <c r="B62" s="313">
        <v>1</v>
      </c>
      <c r="C62" s="698"/>
      <c r="D62" s="701"/>
      <c r="E62" s="372">
        <v>3</v>
      </c>
      <c r="F62" s="373">
        <v>22053096</v>
      </c>
      <c r="G62" s="437">
        <f>IF(ISBLANK(F62),"-",(F62/$D$50*$D$47*$B$68)*($B$57/$D$60))</f>
        <v>288.59623898082702</v>
      </c>
      <c r="H62" s="455">
        <f t="shared" si="0"/>
        <v>96.198746326942342</v>
      </c>
      <c r="L62" s="300"/>
    </row>
    <row r="63" spans="1:12" ht="27" customHeight="1" x14ac:dyDescent="0.4">
      <c r="A63" s="312" t="s">
        <v>97</v>
      </c>
      <c r="B63" s="313">
        <v>1</v>
      </c>
      <c r="C63" s="707"/>
      <c r="D63" s="702"/>
      <c r="E63" s="374">
        <v>4</v>
      </c>
      <c r="F63" s="375"/>
      <c r="G63" s="437" t="str">
        <f>IF(ISBLANK(F63),"-",(F63/$D$50*$D$47*$B$68)*($B$57/$D$60))</f>
        <v>-</v>
      </c>
      <c r="H63" s="455" t="str">
        <f t="shared" si="0"/>
        <v>-</v>
      </c>
    </row>
    <row r="64" spans="1:12" ht="26.25" customHeight="1" x14ac:dyDescent="0.4">
      <c r="A64" s="312" t="s">
        <v>98</v>
      </c>
      <c r="B64" s="313">
        <v>1</v>
      </c>
      <c r="C64" s="697" t="s">
        <v>99</v>
      </c>
      <c r="D64" s="700"/>
      <c r="E64" s="370">
        <v>1</v>
      </c>
      <c r="F64" s="371"/>
      <c r="G64" s="436" t="str">
        <f>IF(ISBLANK(F64),"-",(F64/$D$50*$D$47*$B$68)*($B$57/$D$64))</f>
        <v>-</v>
      </c>
      <c r="H64" s="454" t="str">
        <f t="shared" si="0"/>
        <v>-</v>
      </c>
    </row>
    <row r="65" spans="1:8" ht="26.25" customHeight="1" x14ac:dyDescent="0.4">
      <c r="A65" s="312" t="s">
        <v>100</v>
      </c>
      <c r="B65" s="313">
        <v>1</v>
      </c>
      <c r="C65" s="698"/>
      <c r="D65" s="701"/>
      <c r="E65" s="372">
        <v>2</v>
      </c>
      <c r="F65" s="325"/>
      <c r="G65" s="437" t="str">
        <f>IF(ISBLANK(F65),"-",(F65/$D$50*$D$47*$B$68)*($B$57/$D$64))</f>
        <v>-</v>
      </c>
      <c r="H65" s="455" t="str">
        <f t="shared" si="0"/>
        <v>-</v>
      </c>
    </row>
    <row r="66" spans="1:8" ht="26.25" customHeight="1" x14ac:dyDescent="0.4">
      <c r="A66" s="312" t="s">
        <v>101</v>
      </c>
      <c r="B66" s="313">
        <v>1</v>
      </c>
      <c r="C66" s="698"/>
      <c r="D66" s="701"/>
      <c r="E66" s="372">
        <v>3</v>
      </c>
      <c r="F66" s="325"/>
      <c r="G66" s="437" t="str">
        <f>IF(ISBLANK(F66),"-",(F66/$D$50*$D$47*$B$68)*($B$57/$D$64))</f>
        <v>-</v>
      </c>
      <c r="H66" s="455" t="str">
        <f t="shared" si="0"/>
        <v>-</v>
      </c>
    </row>
    <row r="67" spans="1:8" ht="27" customHeight="1" x14ac:dyDescent="0.4">
      <c r="A67" s="312" t="s">
        <v>102</v>
      </c>
      <c r="B67" s="313">
        <v>1</v>
      </c>
      <c r="C67" s="707"/>
      <c r="D67" s="702"/>
      <c r="E67" s="374">
        <v>4</v>
      </c>
      <c r="F67" s="375"/>
      <c r="G67" s="453" t="str">
        <f>IF(ISBLANK(F67),"-",(F67/$D$50*$D$47*$B$68)*($B$57/$D$64))</f>
        <v>-</v>
      </c>
      <c r="H67" s="456" t="str">
        <f t="shared" si="0"/>
        <v>-</v>
      </c>
    </row>
    <row r="68" spans="1:8" ht="26.25" customHeight="1" x14ac:dyDescent="0.4">
      <c r="A68" s="312" t="s">
        <v>103</v>
      </c>
      <c r="B68" s="376">
        <f>(B67/B66)*(B65/B64)*(B63/B62)*(B61/B60)*B59</f>
        <v>2083.3333333333335</v>
      </c>
      <c r="C68" s="697" t="s">
        <v>104</v>
      </c>
      <c r="D68" s="700">
        <v>1039.8699999999999</v>
      </c>
      <c r="E68" s="370">
        <v>1</v>
      </c>
      <c r="F68" s="371">
        <v>22515586</v>
      </c>
      <c r="G68" s="436">
        <f>IF(ISBLANK(F68),"-",(F68/$D$50*$D$47*$B$68)*($B$57/$D$68))</f>
        <v>295.5921408083023</v>
      </c>
      <c r="H68" s="455">
        <f t="shared" si="0"/>
        <v>98.530713602767435</v>
      </c>
    </row>
    <row r="69" spans="1:8" ht="27" customHeight="1" x14ac:dyDescent="0.4">
      <c r="A69" s="360" t="s">
        <v>105</v>
      </c>
      <c r="B69" s="377">
        <f>(D47*B68)/B56*B57</f>
        <v>1042.603875</v>
      </c>
      <c r="C69" s="698"/>
      <c r="D69" s="701"/>
      <c r="E69" s="372">
        <v>2</v>
      </c>
      <c r="F69" s="325">
        <v>22418105</v>
      </c>
      <c r="G69" s="437">
        <f>IF(ISBLANK(F69),"-",(F69/$D$50*$D$47*$B$68)*($B$57/$D$68))</f>
        <v>294.31237764876767</v>
      </c>
      <c r="H69" s="455">
        <f t="shared" si="0"/>
        <v>98.10412588292256</v>
      </c>
    </row>
    <row r="70" spans="1:8" ht="26.25" customHeight="1" x14ac:dyDescent="0.4">
      <c r="A70" s="703" t="s">
        <v>78</v>
      </c>
      <c r="B70" s="704"/>
      <c r="C70" s="698"/>
      <c r="D70" s="701"/>
      <c r="E70" s="372">
        <v>3</v>
      </c>
      <c r="F70" s="325">
        <v>22466927</v>
      </c>
      <c r="G70" s="437">
        <f>IF(ISBLANK(F70),"-",(F70/$D$50*$D$47*$B$68)*($B$57/$D$68))</f>
        <v>294.95332918778348</v>
      </c>
      <c r="H70" s="455">
        <f t="shared" si="0"/>
        <v>98.317776395927822</v>
      </c>
    </row>
    <row r="71" spans="1:8" ht="27" customHeight="1" x14ac:dyDescent="0.4">
      <c r="A71" s="705"/>
      <c r="B71" s="706"/>
      <c r="C71" s="699"/>
      <c r="D71" s="702"/>
      <c r="E71" s="374">
        <v>4</v>
      </c>
      <c r="F71" s="375"/>
      <c r="G71" s="453" t="str">
        <f>IF(ISBLANK(F71),"-",(F71/$D$50*$D$47*$B$68)*($B$57/$D$68))</f>
        <v>-</v>
      </c>
      <c r="H71" s="456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42">
        <f>AVERAGE(G60:G71)</f>
        <v>291.79030126761637</v>
      </c>
      <c r="H72" s="457">
        <f>AVERAGE(H60:H71)</f>
        <v>97.263433755872128</v>
      </c>
    </row>
    <row r="73" spans="1:8" ht="26.25" customHeight="1" x14ac:dyDescent="0.4">
      <c r="C73" s="378"/>
      <c r="D73" s="378"/>
      <c r="E73" s="378"/>
      <c r="F73" s="381" t="s">
        <v>84</v>
      </c>
      <c r="G73" s="441">
        <f>STDEV(G60:G71)/G72</f>
        <v>1.1953131195158003E-2</v>
      </c>
      <c r="H73" s="441">
        <f>STDEV(H60:H71)/H72</f>
        <v>1.1953131195157991E-2</v>
      </c>
    </row>
    <row r="74" spans="1:8" ht="27" customHeight="1" x14ac:dyDescent="0.4">
      <c r="A74" s="378"/>
      <c r="B74" s="378"/>
      <c r="C74" s="379"/>
      <c r="D74" s="379"/>
      <c r="E74" s="382"/>
      <c r="F74" s="383" t="s">
        <v>20</v>
      </c>
      <c r="G74" s="384">
        <f>COUNT(G60:G71)</f>
        <v>6</v>
      </c>
      <c r="H74" s="384">
        <f>COUNT(H60:H71)</f>
        <v>6</v>
      </c>
    </row>
    <row r="76" spans="1:8" ht="26.25" customHeight="1" x14ac:dyDescent="0.4">
      <c r="A76" s="296" t="s">
        <v>106</v>
      </c>
      <c r="B76" s="385" t="s">
        <v>107</v>
      </c>
      <c r="C76" s="684" t="str">
        <f>B26</f>
        <v>TDF</v>
      </c>
      <c r="D76" s="684"/>
      <c r="E76" s="386" t="s">
        <v>108</v>
      </c>
      <c r="F76" s="386"/>
      <c r="G76" s="473">
        <f>H72</f>
        <v>97.263433755872128</v>
      </c>
      <c r="H76" s="388"/>
    </row>
    <row r="77" spans="1:8" ht="18.75" x14ac:dyDescent="0.3">
      <c r="A77" s="295" t="s">
        <v>109</v>
      </c>
      <c r="B77" s="295" t="s">
        <v>110</v>
      </c>
    </row>
    <row r="78" spans="1:8" ht="18.75" x14ac:dyDescent="0.3">
      <c r="A78" s="295"/>
      <c r="B78" s="295"/>
    </row>
    <row r="79" spans="1:8" ht="26.25" customHeight="1" x14ac:dyDescent="0.4">
      <c r="A79" s="296" t="s">
        <v>4</v>
      </c>
      <c r="B79" s="718" t="str">
        <f>B26</f>
        <v>TDF</v>
      </c>
      <c r="C79" s="718"/>
    </row>
    <row r="80" spans="1:8" ht="26.25" customHeight="1" x14ac:dyDescent="0.4">
      <c r="A80" s="297" t="s">
        <v>48</v>
      </c>
      <c r="B80" s="718" t="str">
        <f>B27</f>
        <v>T11-12</v>
      </c>
      <c r="C80" s="718"/>
    </row>
    <row r="81" spans="1:12" ht="27" customHeight="1" x14ac:dyDescent="0.4">
      <c r="A81" s="297" t="s">
        <v>6</v>
      </c>
      <c r="B81" s="389">
        <f>B28</f>
        <v>98.58</v>
      </c>
    </row>
    <row r="82" spans="1:12" s="14" customFormat="1" ht="27" customHeight="1" x14ac:dyDescent="0.4">
      <c r="A82" s="297" t="s">
        <v>49</v>
      </c>
      <c r="B82" s="299">
        <v>0</v>
      </c>
      <c r="C82" s="686" t="s">
        <v>50</v>
      </c>
      <c r="D82" s="687"/>
      <c r="E82" s="687"/>
      <c r="F82" s="687"/>
      <c r="G82" s="688"/>
      <c r="I82" s="300"/>
      <c r="J82" s="300"/>
      <c r="K82" s="300"/>
      <c r="L82" s="300"/>
    </row>
    <row r="83" spans="1:12" s="14" customFormat="1" ht="19.5" customHeight="1" x14ac:dyDescent="0.3">
      <c r="A83" s="297" t="s">
        <v>51</v>
      </c>
      <c r="B83" s="301">
        <f>B81-B82</f>
        <v>98.58</v>
      </c>
      <c r="C83" s="302"/>
      <c r="D83" s="302"/>
      <c r="E83" s="302"/>
      <c r="F83" s="302"/>
      <c r="G83" s="303"/>
      <c r="I83" s="300"/>
      <c r="J83" s="300"/>
      <c r="K83" s="300"/>
      <c r="L83" s="300"/>
    </row>
    <row r="84" spans="1:12" s="14" customFormat="1" ht="27" customHeight="1" x14ac:dyDescent="0.4">
      <c r="A84" s="297" t="s">
        <v>52</v>
      </c>
      <c r="B84" s="304">
        <v>1</v>
      </c>
      <c r="C84" s="689" t="s">
        <v>111</v>
      </c>
      <c r="D84" s="690"/>
      <c r="E84" s="690"/>
      <c r="F84" s="690"/>
      <c r="G84" s="690"/>
      <c r="H84" s="691"/>
      <c r="I84" s="300"/>
      <c r="J84" s="300"/>
      <c r="K84" s="300"/>
      <c r="L84" s="300"/>
    </row>
    <row r="85" spans="1:12" s="14" customFormat="1" ht="27" customHeight="1" x14ac:dyDescent="0.4">
      <c r="A85" s="297" t="s">
        <v>54</v>
      </c>
      <c r="B85" s="304">
        <v>1</v>
      </c>
      <c r="C85" s="689" t="s">
        <v>112</v>
      </c>
      <c r="D85" s="690"/>
      <c r="E85" s="690"/>
      <c r="F85" s="690"/>
      <c r="G85" s="690"/>
      <c r="H85" s="691"/>
      <c r="I85" s="300"/>
      <c r="J85" s="300"/>
      <c r="K85" s="300"/>
      <c r="L85" s="300"/>
    </row>
    <row r="86" spans="1:12" s="14" customFormat="1" ht="18.75" x14ac:dyDescent="0.3">
      <c r="A86" s="297"/>
      <c r="B86" s="307"/>
      <c r="C86" s="308"/>
      <c r="D86" s="308"/>
      <c r="E86" s="308"/>
      <c r="F86" s="308"/>
      <c r="G86" s="308"/>
      <c r="H86" s="308"/>
      <c r="I86" s="300"/>
      <c r="J86" s="300"/>
      <c r="K86" s="300"/>
      <c r="L86" s="300"/>
    </row>
    <row r="87" spans="1:12" s="14" customFormat="1" ht="18.75" x14ac:dyDescent="0.3">
      <c r="A87" s="297" t="s">
        <v>56</v>
      </c>
      <c r="B87" s="309">
        <f>B84/B85</f>
        <v>1</v>
      </c>
      <c r="C87" s="287" t="s">
        <v>57</v>
      </c>
      <c r="D87" s="287"/>
      <c r="E87" s="287"/>
      <c r="F87" s="287"/>
      <c r="G87" s="287"/>
      <c r="I87" s="300"/>
      <c r="J87" s="300"/>
      <c r="K87" s="300"/>
      <c r="L87" s="300"/>
    </row>
    <row r="88" spans="1:12" ht="19.5" customHeight="1" x14ac:dyDescent="0.3">
      <c r="A88" s="295"/>
      <c r="B88" s="295"/>
    </row>
    <row r="89" spans="1:12" ht="27" customHeight="1" x14ac:dyDescent="0.4">
      <c r="A89" s="310" t="s">
        <v>58</v>
      </c>
      <c r="B89" s="311">
        <v>100</v>
      </c>
      <c r="D89" s="390" t="s">
        <v>59</v>
      </c>
      <c r="E89" s="391"/>
      <c r="F89" s="692" t="s">
        <v>60</v>
      </c>
      <c r="G89" s="693"/>
    </row>
    <row r="90" spans="1:12" ht="27" customHeight="1" x14ac:dyDescent="0.4">
      <c r="A90" s="312" t="s">
        <v>61</v>
      </c>
      <c r="B90" s="313">
        <v>1</v>
      </c>
      <c r="C90" s="392" t="s">
        <v>62</v>
      </c>
      <c r="D90" s="315" t="s">
        <v>63</v>
      </c>
      <c r="E90" s="316" t="s">
        <v>64</v>
      </c>
      <c r="F90" s="315" t="s">
        <v>63</v>
      </c>
      <c r="G90" s="393" t="s">
        <v>64</v>
      </c>
      <c r="I90" s="318" t="s">
        <v>65</v>
      </c>
    </row>
    <row r="91" spans="1:12" ht="26.25" customHeight="1" x14ac:dyDescent="0.4">
      <c r="A91" s="312" t="s">
        <v>66</v>
      </c>
      <c r="B91" s="313">
        <v>1</v>
      </c>
      <c r="C91" s="394">
        <v>1</v>
      </c>
      <c r="D91" s="320">
        <v>43407891</v>
      </c>
      <c r="E91" s="321">
        <f>IF(ISBLANK(D91),"-",$D$101/$D$98*D91)</f>
        <v>41960321.992534116</v>
      </c>
      <c r="F91" s="320">
        <v>40519828</v>
      </c>
      <c r="G91" s="322">
        <f>IF(ISBLANK(F91),"-",$D$101/$F$98*F91)</f>
        <v>41021454.757354833</v>
      </c>
      <c r="I91" s="323"/>
    </row>
    <row r="92" spans="1:12" ht="26.25" customHeight="1" x14ac:dyDescent="0.4">
      <c r="A92" s="312" t="s">
        <v>67</v>
      </c>
      <c r="B92" s="313">
        <v>1</v>
      </c>
      <c r="C92" s="379">
        <v>2</v>
      </c>
      <c r="D92" s="325">
        <v>43073358</v>
      </c>
      <c r="E92" s="326">
        <f>IF(ISBLANK(D92),"-",$D$101/$D$98*D92)</f>
        <v>41636945.01950568</v>
      </c>
      <c r="F92" s="325">
        <v>40440581</v>
      </c>
      <c r="G92" s="327">
        <f>IF(ISBLANK(F92),"-",$D$101/$F$98*F92)</f>
        <v>40941226.696535915</v>
      </c>
      <c r="I92" s="694">
        <f>ABS((F96/D96*D95)-F95)/D95</f>
        <v>1.7069198740322242E-2</v>
      </c>
    </row>
    <row r="93" spans="1:12" ht="26.25" customHeight="1" x14ac:dyDescent="0.4">
      <c r="A93" s="312" t="s">
        <v>68</v>
      </c>
      <c r="B93" s="313">
        <v>1</v>
      </c>
      <c r="C93" s="379">
        <v>3</v>
      </c>
      <c r="D93" s="325">
        <v>42950678</v>
      </c>
      <c r="E93" s="326">
        <f>IF(ISBLANK(D93),"-",$D$101/$D$98*D93)</f>
        <v>41518356.159658879</v>
      </c>
      <c r="F93" s="325">
        <v>40415951</v>
      </c>
      <c r="G93" s="327">
        <f>IF(ISBLANK(F93),"-",$D$101/$F$98*F93)</f>
        <v>40916291.782432288</v>
      </c>
      <c r="I93" s="694"/>
    </row>
    <row r="94" spans="1:12" ht="27" customHeight="1" x14ac:dyDescent="0.4">
      <c r="A94" s="312" t="s">
        <v>69</v>
      </c>
      <c r="B94" s="313">
        <v>1</v>
      </c>
      <c r="C94" s="395">
        <v>4</v>
      </c>
      <c r="D94" s="330"/>
      <c r="E94" s="331" t="str">
        <f>IF(ISBLANK(D94),"-",$D$101/$D$98*D94)</f>
        <v>-</v>
      </c>
      <c r="F94" s="396"/>
      <c r="G94" s="332" t="str">
        <f>IF(ISBLANK(F94),"-",$D$101/$F$98*F94)</f>
        <v>-</v>
      </c>
      <c r="I94" s="333"/>
    </row>
    <row r="95" spans="1:12" ht="27" customHeight="1" x14ac:dyDescent="0.4">
      <c r="A95" s="312" t="s">
        <v>70</v>
      </c>
      <c r="B95" s="313">
        <v>1</v>
      </c>
      <c r="C95" s="397" t="s">
        <v>71</v>
      </c>
      <c r="D95" s="398">
        <f>AVERAGE(D91:D94)</f>
        <v>43143975.666666664</v>
      </c>
      <c r="E95" s="336">
        <f>AVERAGE(E91:E94)</f>
        <v>41705207.723899558</v>
      </c>
      <c r="F95" s="399">
        <f>AVERAGE(F91:F94)</f>
        <v>40458786.666666664</v>
      </c>
      <c r="G95" s="400">
        <f>AVERAGE(G91:G94)</f>
        <v>40959657.745441012</v>
      </c>
    </row>
    <row r="96" spans="1:12" ht="26.25" customHeight="1" x14ac:dyDescent="0.4">
      <c r="A96" s="312" t="s">
        <v>72</v>
      </c>
      <c r="B96" s="298">
        <v>1</v>
      </c>
      <c r="C96" s="401" t="s">
        <v>113</v>
      </c>
      <c r="D96" s="402">
        <v>34.979999999999997</v>
      </c>
      <c r="E96" s="328"/>
      <c r="F96" s="340">
        <v>33.4</v>
      </c>
    </row>
    <row r="97" spans="1:10" ht="26.25" customHeight="1" x14ac:dyDescent="0.4">
      <c r="A97" s="312" t="s">
        <v>74</v>
      </c>
      <c r="B97" s="298">
        <v>1</v>
      </c>
      <c r="C97" s="403" t="s">
        <v>114</v>
      </c>
      <c r="D97" s="404">
        <f>D96*$B$87</f>
        <v>34.979999999999997</v>
      </c>
      <c r="E97" s="343"/>
      <c r="F97" s="342">
        <f>F96*$B$87</f>
        <v>33.4</v>
      </c>
    </row>
    <row r="98" spans="1:10" ht="19.5" customHeight="1" x14ac:dyDescent="0.3">
      <c r="A98" s="312" t="s">
        <v>76</v>
      </c>
      <c r="B98" s="405">
        <f>(B97/B96)*(B95/B94)*(B93/B92)*(B91/B90)*B89</f>
        <v>100</v>
      </c>
      <c r="C98" s="403" t="s">
        <v>115</v>
      </c>
      <c r="D98" s="406">
        <f>D97*$B$83/100</f>
        <v>34.483283999999998</v>
      </c>
      <c r="E98" s="346"/>
      <c r="F98" s="345">
        <f>F97*$B$83/100</f>
        <v>32.925719999999998</v>
      </c>
    </row>
    <row r="99" spans="1:10" ht="19.5" customHeight="1" x14ac:dyDescent="0.3">
      <c r="A99" s="680" t="s">
        <v>78</v>
      </c>
      <c r="B99" s="695"/>
      <c r="C99" s="403" t="s">
        <v>116</v>
      </c>
      <c r="D99" s="407">
        <f>D98/$B$98</f>
        <v>0.34483283999999997</v>
      </c>
      <c r="E99" s="346"/>
      <c r="F99" s="349">
        <f>F98/$B$98</f>
        <v>0.32925719999999997</v>
      </c>
      <c r="G99" s="408"/>
      <c r="H99" s="338"/>
    </row>
    <row r="100" spans="1:10" ht="19.5" customHeight="1" x14ac:dyDescent="0.3">
      <c r="A100" s="682"/>
      <c r="B100" s="696"/>
      <c r="C100" s="403" t="s">
        <v>80</v>
      </c>
      <c r="D100" s="409">
        <f>$B$56/$B$116</f>
        <v>0.33333333333333331</v>
      </c>
      <c r="F100" s="354"/>
      <c r="G100" s="410"/>
      <c r="H100" s="338"/>
    </row>
    <row r="101" spans="1:10" ht="18.75" x14ac:dyDescent="0.3">
      <c r="C101" s="403" t="s">
        <v>81</v>
      </c>
      <c r="D101" s="404">
        <f>D100*$B$98</f>
        <v>33.333333333333329</v>
      </c>
      <c r="F101" s="354"/>
      <c r="G101" s="408"/>
      <c r="H101" s="338"/>
    </row>
    <row r="102" spans="1:10" ht="19.5" customHeight="1" x14ac:dyDescent="0.3">
      <c r="C102" s="411" t="s">
        <v>82</v>
      </c>
      <c r="D102" s="412">
        <f>D101/B34</f>
        <v>33.333333333333329</v>
      </c>
      <c r="F102" s="358"/>
      <c r="G102" s="408"/>
      <c r="H102" s="338"/>
      <c r="J102" s="413"/>
    </row>
    <row r="103" spans="1:10" ht="18.75" x14ac:dyDescent="0.3">
      <c r="C103" s="414" t="s">
        <v>117</v>
      </c>
      <c r="D103" s="415">
        <f>AVERAGE(E91:E94,G91:G94)</f>
        <v>41332432.734670289</v>
      </c>
      <c r="F103" s="358"/>
      <c r="G103" s="416"/>
      <c r="H103" s="338"/>
      <c r="J103" s="417"/>
    </row>
    <row r="104" spans="1:10" ht="18.75" x14ac:dyDescent="0.3">
      <c r="C104" s="381" t="s">
        <v>84</v>
      </c>
      <c r="D104" s="418">
        <f>STDEV(E91:E94,G91:G94)/D103</f>
        <v>1.051517460622446E-2</v>
      </c>
      <c r="F104" s="358"/>
      <c r="G104" s="408"/>
      <c r="H104" s="338"/>
      <c r="J104" s="417"/>
    </row>
    <row r="105" spans="1:10" ht="19.5" customHeight="1" x14ac:dyDescent="0.3">
      <c r="C105" s="383" t="s">
        <v>20</v>
      </c>
      <c r="D105" s="419">
        <f>COUNT(E91:E94,G91:G94)</f>
        <v>6</v>
      </c>
      <c r="F105" s="358"/>
      <c r="G105" s="408"/>
      <c r="H105" s="338"/>
      <c r="J105" s="417"/>
    </row>
    <row r="106" spans="1:10" ht="19.5" customHeight="1" x14ac:dyDescent="0.3">
      <c r="A106" s="362"/>
      <c r="B106" s="362"/>
      <c r="C106" s="362"/>
      <c r="D106" s="362"/>
      <c r="E106" s="362"/>
    </row>
    <row r="107" spans="1:10" ht="27" customHeight="1" x14ac:dyDescent="0.4">
      <c r="A107" s="310" t="s">
        <v>118</v>
      </c>
      <c r="B107" s="311">
        <v>900</v>
      </c>
      <c r="C107" s="458" t="s">
        <v>119</v>
      </c>
      <c r="D107" s="458" t="s">
        <v>63</v>
      </c>
      <c r="E107" s="458" t="s">
        <v>120</v>
      </c>
      <c r="F107" s="420" t="s">
        <v>121</v>
      </c>
    </row>
    <row r="108" spans="1:10" ht="26.25" customHeight="1" x14ac:dyDescent="0.4">
      <c r="A108" s="312" t="s">
        <v>122</v>
      </c>
      <c r="B108" s="313">
        <v>1</v>
      </c>
      <c r="C108" s="463">
        <v>1</v>
      </c>
      <c r="D108" s="464">
        <v>40164177</v>
      </c>
      <c r="E108" s="438">
        <f t="shared" ref="E108:E113" si="1">IF(ISBLANK(D108),"-",D108/$D$103*$D$100*$B$116)</f>
        <v>291.52053975020198</v>
      </c>
      <c r="F108" s="465">
        <f t="shared" ref="F108:F113" si="2">IF(ISBLANK(D108), "-", (E108/$B$56)*100)</f>
        <v>97.173513250067316</v>
      </c>
    </row>
    <row r="109" spans="1:10" ht="26.25" customHeight="1" x14ac:dyDescent="0.4">
      <c r="A109" s="312" t="s">
        <v>95</v>
      </c>
      <c r="B109" s="313">
        <v>1</v>
      </c>
      <c r="C109" s="459">
        <v>2</v>
      </c>
      <c r="D109" s="461">
        <v>41950802</v>
      </c>
      <c r="E109" s="439">
        <f t="shared" si="1"/>
        <v>304.4882618158428</v>
      </c>
      <c r="F109" s="466">
        <f t="shared" si="2"/>
        <v>101.49608727194762</v>
      </c>
    </row>
    <row r="110" spans="1:10" ht="26.25" customHeight="1" x14ac:dyDescent="0.4">
      <c r="A110" s="312" t="s">
        <v>96</v>
      </c>
      <c r="B110" s="313">
        <v>1</v>
      </c>
      <c r="C110" s="459">
        <v>3</v>
      </c>
      <c r="D110" s="461">
        <v>39078542</v>
      </c>
      <c r="E110" s="439">
        <f t="shared" si="1"/>
        <v>283.64075918923817</v>
      </c>
      <c r="F110" s="466">
        <f t="shared" si="2"/>
        <v>94.546919729746065</v>
      </c>
    </row>
    <row r="111" spans="1:10" ht="26.25" customHeight="1" x14ac:dyDescent="0.4">
      <c r="A111" s="312" t="s">
        <v>97</v>
      </c>
      <c r="B111" s="313">
        <v>1</v>
      </c>
      <c r="C111" s="459">
        <v>4</v>
      </c>
      <c r="D111" s="461">
        <v>39859144</v>
      </c>
      <c r="E111" s="439">
        <f t="shared" si="1"/>
        <v>289.30654231657786</v>
      </c>
      <c r="F111" s="466">
        <f t="shared" si="2"/>
        <v>96.435514105525954</v>
      </c>
    </row>
    <row r="112" spans="1:10" ht="26.25" customHeight="1" x14ac:dyDescent="0.4">
      <c r="A112" s="312" t="s">
        <v>98</v>
      </c>
      <c r="B112" s="313">
        <v>1</v>
      </c>
      <c r="C112" s="459">
        <v>5</v>
      </c>
      <c r="D112" s="461">
        <v>40892087</v>
      </c>
      <c r="E112" s="439">
        <f t="shared" si="1"/>
        <v>296.80387260897237</v>
      </c>
      <c r="F112" s="466">
        <f t="shared" si="2"/>
        <v>98.93462420299079</v>
      </c>
    </row>
    <row r="113" spans="1:10" ht="27" customHeight="1" x14ac:dyDescent="0.4">
      <c r="A113" s="312" t="s">
        <v>100</v>
      </c>
      <c r="B113" s="313">
        <v>1</v>
      </c>
      <c r="C113" s="460">
        <v>6</v>
      </c>
      <c r="D113" s="462">
        <v>40506572</v>
      </c>
      <c r="E113" s="440">
        <f t="shared" si="1"/>
        <v>294.00571889896861</v>
      </c>
      <c r="F113" s="467">
        <f t="shared" si="2"/>
        <v>98.001906299656198</v>
      </c>
    </row>
    <row r="114" spans="1:10" ht="27" customHeight="1" x14ac:dyDescent="0.4">
      <c r="A114" s="312" t="s">
        <v>101</v>
      </c>
      <c r="B114" s="313">
        <v>1</v>
      </c>
      <c r="C114" s="421"/>
      <c r="D114" s="379"/>
      <c r="E114" s="286"/>
      <c r="F114" s="468"/>
    </row>
    <row r="115" spans="1:10" ht="26.25" customHeight="1" x14ac:dyDescent="0.4">
      <c r="A115" s="312" t="s">
        <v>102</v>
      </c>
      <c r="B115" s="313">
        <v>1</v>
      </c>
      <c r="C115" s="421"/>
      <c r="D115" s="445" t="s">
        <v>71</v>
      </c>
      <c r="E115" s="447">
        <f>AVERAGE(E108:E113)</f>
        <v>293.29428242996693</v>
      </c>
      <c r="F115" s="469">
        <f>AVERAGE(F108:F113)</f>
        <v>97.764760809988999</v>
      </c>
    </row>
    <row r="116" spans="1:10" ht="27" customHeight="1" x14ac:dyDescent="0.4">
      <c r="A116" s="312" t="s">
        <v>103</v>
      </c>
      <c r="B116" s="344">
        <f>(B115/B114)*(B113/B112)*(B111/B110)*(B109/B108)*B107</f>
        <v>900</v>
      </c>
      <c r="C116" s="422"/>
      <c r="D116" s="446" t="s">
        <v>84</v>
      </c>
      <c r="E116" s="444">
        <f>STDEV(E108:E113)/E115</f>
        <v>2.4126825926431044E-2</v>
      </c>
      <c r="F116" s="423">
        <f>STDEV(F108:F113)/F115</f>
        <v>2.4126825926431061E-2</v>
      </c>
      <c r="I116" s="286"/>
    </row>
    <row r="117" spans="1:10" ht="27" customHeight="1" x14ac:dyDescent="0.4">
      <c r="A117" s="680" t="s">
        <v>78</v>
      </c>
      <c r="B117" s="681"/>
      <c r="C117" s="424"/>
      <c r="D117" s="383" t="s">
        <v>20</v>
      </c>
      <c r="E117" s="449">
        <f>COUNT(E108:E113)</f>
        <v>6</v>
      </c>
      <c r="F117" s="450">
        <f>COUNT(F108:F113)</f>
        <v>6</v>
      </c>
      <c r="I117" s="286"/>
      <c r="J117" s="417"/>
    </row>
    <row r="118" spans="1:10" ht="26.25" customHeight="1" x14ac:dyDescent="0.3">
      <c r="A118" s="682"/>
      <c r="B118" s="683"/>
      <c r="C118" s="286"/>
      <c r="D118" s="448"/>
      <c r="E118" s="708" t="s">
        <v>123</v>
      </c>
      <c r="F118" s="709"/>
      <c r="G118" s="286"/>
      <c r="H118" s="286"/>
      <c r="I118" s="286"/>
    </row>
    <row r="119" spans="1:10" ht="25.5" customHeight="1" x14ac:dyDescent="0.4">
      <c r="A119" s="433"/>
      <c r="B119" s="308"/>
      <c r="C119" s="286"/>
      <c r="D119" s="446" t="s">
        <v>124</v>
      </c>
      <c r="E119" s="451">
        <f>MIN(E108:E113)</f>
        <v>283.64075918923817</v>
      </c>
      <c r="F119" s="470">
        <f>MIN(F108:F113)</f>
        <v>94.546919729746065</v>
      </c>
      <c r="G119" s="286"/>
      <c r="H119" s="286"/>
      <c r="I119" s="286"/>
    </row>
    <row r="120" spans="1:10" ht="24" customHeight="1" x14ac:dyDescent="0.4">
      <c r="A120" s="433"/>
      <c r="B120" s="308"/>
      <c r="C120" s="286"/>
      <c r="D120" s="355" t="s">
        <v>125</v>
      </c>
      <c r="E120" s="452">
        <f>MAX(E108:E113)</f>
        <v>304.4882618158428</v>
      </c>
      <c r="F120" s="471">
        <f>MAX(F108:F113)</f>
        <v>101.49608727194762</v>
      </c>
      <c r="G120" s="286"/>
      <c r="H120" s="286"/>
      <c r="I120" s="286"/>
    </row>
    <row r="121" spans="1:10" ht="27" customHeight="1" x14ac:dyDescent="0.3">
      <c r="A121" s="433"/>
      <c r="B121" s="308"/>
      <c r="C121" s="286"/>
      <c r="D121" s="286"/>
      <c r="E121" s="286"/>
      <c r="F121" s="379"/>
      <c r="G121" s="286"/>
      <c r="H121" s="286"/>
      <c r="I121" s="286"/>
    </row>
    <row r="122" spans="1:10" ht="25.5" customHeight="1" x14ac:dyDescent="0.3">
      <c r="A122" s="433"/>
      <c r="B122" s="308"/>
      <c r="C122" s="286"/>
      <c r="D122" s="286"/>
      <c r="E122" s="286"/>
      <c r="F122" s="379"/>
      <c r="G122" s="286"/>
      <c r="H122" s="286"/>
      <c r="I122" s="286"/>
    </row>
    <row r="123" spans="1:10" ht="18.75" x14ac:dyDescent="0.3">
      <c r="A123" s="433"/>
      <c r="B123" s="308"/>
      <c r="C123" s="286"/>
      <c r="D123" s="286"/>
      <c r="E123" s="286"/>
      <c r="F123" s="379"/>
      <c r="G123" s="286"/>
      <c r="H123" s="286"/>
      <c r="I123" s="286"/>
    </row>
    <row r="124" spans="1:10" ht="45.75" customHeight="1" x14ac:dyDescent="0.65">
      <c r="A124" s="296" t="s">
        <v>106</v>
      </c>
      <c r="B124" s="385" t="s">
        <v>126</v>
      </c>
      <c r="C124" s="684" t="str">
        <f>B26</f>
        <v>TDF</v>
      </c>
      <c r="D124" s="684"/>
      <c r="E124" s="386" t="s">
        <v>127</v>
      </c>
      <c r="F124" s="386"/>
      <c r="G124" s="472">
        <f>F115</f>
        <v>97.764760809988999</v>
      </c>
      <c r="H124" s="286"/>
      <c r="I124" s="286"/>
    </row>
    <row r="125" spans="1:10" ht="45.75" customHeight="1" x14ac:dyDescent="0.65">
      <c r="A125" s="296"/>
      <c r="B125" s="385" t="s">
        <v>128</v>
      </c>
      <c r="C125" s="297" t="s">
        <v>129</v>
      </c>
      <c r="D125" s="472">
        <f>MIN(F108:F113)</f>
        <v>94.546919729746065</v>
      </c>
      <c r="E125" s="397" t="s">
        <v>130</v>
      </c>
      <c r="F125" s="472">
        <f>MAX(F108:F113)</f>
        <v>101.49608727194762</v>
      </c>
      <c r="G125" s="387"/>
      <c r="H125" s="286"/>
      <c r="I125" s="286"/>
    </row>
    <row r="126" spans="1:10" ht="19.5" customHeight="1" x14ac:dyDescent="0.3">
      <c r="A126" s="425"/>
      <c r="B126" s="425"/>
      <c r="C126" s="426"/>
      <c r="D126" s="426"/>
      <c r="E126" s="426"/>
      <c r="F126" s="426"/>
      <c r="G126" s="426"/>
      <c r="H126" s="426"/>
    </row>
    <row r="127" spans="1:10" ht="18.75" x14ac:dyDescent="0.3">
      <c r="B127" s="685" t="s">
        <v>26</v>
      </c>
      <c r="C127" s="685"/>
      <c r="E127" s="392" t="s">
        <v>27</v>
      </c>
      <c r="F127" s="427"/>
      <c r="G127" s="685" t="s">
        <v>28</v>
      </c>
      <c r="H127" s="685"/>
    </row>
    <row r="128" spans="1:10" ht="69.95" customHeight="1" x14ac:dyDescent="0.3">
      <c r="A128" s="428" t="s">
        <v>29</v>
      </c>
      <c r="B128" s="429"/>
      <c r="C128" s="429"/>
      <c r="E128" s="429"/>
      <c r="F128" s="286"/>
      <c r="G128" s="430"/>
      <c r="H128" s="430"/>
    </row>
    <row r="129" spans="1:9" ht="69.95" customHeight="1" x14ac:dyDescent="0.3">
      <c r="A129" s="428" t="s">
        <v>30</v>
      </c>
      <c r="B129" s="431"/>
      <c r="C129" s="431"/>
      <c r="E129" s="431"/>
      <c r="F129" s="286"/>
      <c r="G129" s="432"/>
      <c r="H129" s="432"/>
    </row>
    <row r="130" spans="1:9" ht="18.75" x14ac:dyDescent="0.3">
      <c r="A130" s="378"/>
      <c r="B130" s="378"/>
      <c r="C130" s="379"/>
      <c r="D130" s="379"/>
      <c r="E130" s="379"/>
      <c r="F130" s="382"/>
      <c r="G130" s="379"/>
      <c r="H130" s="379"/>
      <c r="I130" s="286"/>
    </row>
    <row r="131" spans="1:9" ht="18.75" x14ac:dyDescent="0.3">
      <c r="A131" s="378"/>
      <c r="B131" s="378"/>
      <c r="C131" s="379"/>
      <c r="D131" s="379"/>
      <c r="E131" s="379"/>
      <c r="F131" s="382"/>
      <c r="G131" s="379"/>
      <c r="H131" s="379"/>
      <c r="I131" s="286"/>
    </row>
    <row r="132" spans="1:9" ht="18.75" x14ac:dyDescent="0.3">
      <c r="A132" s="378"/>
      <c r="B132" s="378"/>
      <c r="C132" s="379"/>
      <c r="D132" s="379"/>
      <c r="E132" s="379"/>
      <c r="F132" s="382"/>
      <c r="G132" s="379"/>
      <c r="H132" s="379"/>
      <c r="I132" s="286"/>
    </row>
    <row r="133" spans="1:9" ht="18.75" x14ac:dyDescent="0.3">
      <c r="A133" s="378"/>
      <c r="B133" s="378"/>
      <c r="C133" s="379"/>
      <c r="D133" s="379"/>
      <c r="E133" s="379"/>
      <c r="F133" s="382"/>
      <c r="G133" s="379"/>
      <c r="H133" s="379"/>
      <c r="I133" s="286"/>
    </row>
    <row r="134" spans="1:9" ht="18.75" x14ac:dyDescent="0.3">
      <c r="A134" s="378"/>
      <c r="B134" s="378"/>
      <c r="C134" s="379"/>
      <c r="D134" s="379"/>
      <c r="E134" s="379"/>
      <c r="F134" s="382"/>
      <c r="G134" s="379"/>
      <c r="H134" s="379"/>
      <c r="I134" s="286"/>
    </row>
    <row r="135" spans="1:9" ht="18.75" x14ac:dyDescent="0.3">
      <c r="A135" s="378"/>
      <c r="B135" s="378"/>
      <c r="C135" s="379"/>
      <c r="D135" s="379"/>
      <c r="E135" s="379"/>
      <c r="F135" s="382"/>
      <c r="G135" s="379"/>
      <c r="H135" s="379"/>
      <c r="I135" s="286"/>
    </row>
    <row r="136" spans="1:9" ht="18.75" x14ac:dyDescent="0.3">
      <c r="A136" s="378"/>
      <c r="B136" s="378"/>
      <c r="C136" s="379"/>
      <c r="D136" s="379"/>
      <c r="E136" s="379"/>
      <c r="F136" s="382"/>
      <c r="G136" s="379"/>
      <c r="H136" s="379"/>
      <c r="I136" s="286"/>
    </row>
    <row r="137" spans="1:9" ht="18.75" x14ac:dyDescent="0.3">
      <c r="A137" s="378"/>
      <c r="B137" s="378"/>
      <c r="C137" s="379"/>
      <c r="D137" s="379"/>
      <c r="E137" s="379"/>
      <c r="F137" s="382"/>
      <c r="G137" s="379"/>
      <c r="H137" s="379"/>
      <c r="I137" s="286"/>
    </row>
    <row r="138" spans="1:9" ht="18.75" x14ac:dyDescent="0.3">
      <c r="A138" s="378"/>
      <c r="B138" s="378"/>
      <c r="C138" s="379"/>
      <c r="D138" s="379"/>
      <c r="E138" s="379"/>
      <c r="F138" s="382"/>
      <c r="G138" s="379"/>
      <c r="H138" s="379"/>
      <c r="I138" s="28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37" zoomScale="47" zoomScaleNormal="47" zoomScalePageLayoutView="25" workbookViewId="0">
      <selection sqref="A1:I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78" t="s">
        <v>45</v>
      </c>
      <c r="B1" s="678"/>
      <c r="C1" s="678"/>
      <c r="D1" s="678"/>
      <c r="E1" s="678"/>
      <c r="F1" s="678"/>
      <c r="G1" s="678"/>
      <c r="H1" s="678"/>
      <c r="I1" s="678"/>
    </row>
    <row r="2" spans="1:9" ht="18.75" customHeight="1" x14ac:dyDescent="0.25">
      <c r="A2" s="678"/>
      <c r="B2" s="678"/>
      <c r="C2" s="678"/>
      <c r="D2" s="678"/>
      <c r="E2" s="678"/>
      <c r="F2" s="678"/>
      <c r="G2" s="678"/>
      <c r="H2" s="678"/>
      <c r="I2" s="678"/>
    </row>
    <row r="3" spans="1:9" ht="18.75" customHeight="1" x14ac:dyDescent="0.25">
      <c r="A3" s="678"/>
      <c r="B3" s="678"/>
      <c r="C3" s="678"/>
      <c r="D3" s="678"/>
      <c r="E3" s="678"/>
      <c r="F3" s="678"/>
      <c r="G3" s="678"/>
      <c r="H3" s="678"/>
      <c r="I3" s="678"/>
    </row>
    <row r="4" spans="1:9" ht="18.75" customHeight="1" x14ac:dyDescent="0.25">
      <c r="A4" s="678"/>
      <c r="B4" s="678"/>
      <c r="C4" s="678"/>
      <c r="D4" s="678"/>
      <c r="E4" s="678"/>
      <c r="F4" s="678"/>
      <c r="G4" s="678"/>
      <c r="H4" s="678"/>
      <c r="I4" s="678"/>
    </row>
    <row r="5" spans="1:9" ht="18.75" customHeight="1" x14ac:dyDescent="0.25">
      <c r="A5" s="678"/>
      <c r="B5" s="678"/>
      <c r="C5" s="678"/>
      <c r="D5" s="678"/>
      <c r="E5" s="678"/>
      <c r="F5" s="678"/>
      <c r="G5" s="678"/>
      <c r="H5" s="678"/>
      <c r="I5" s="678"/>
    </row>
    <row r="6" spans="1:9" ht="18.75" customHeight="1" x14ac:dyDescent="0.25">
      <c r="A6" s="678"/>
      <c r="B6" s="678"/>
      <c r="C6" s="678"/>
      <c r="D6" s="678"/>
      <c r="E6" s="678"/>
      <c r="F6" s="678"/>
      <c r="G6" s="678"/>
      <c r="H6" s="678"/>
      <c r="I6" s="678"/>
    </row>
    <row r="7" spans="1:9" ht="18.75" customHeight="1" x14ac:dyDescent="0.25">
      <c r="A7" s="678"/>
      <c r="B7" s="678"/>
      <c r="C7" s="678"/>
      <c r="D7" s="678"/>
      <c r="E7" s="678"/>
      <c r="F7" s="678"/>
      <c r="G7" s="678"/>
      <c r="H7" s="678"/>
      <c r="I7" s="678"/>
    </row>
    <row r="8" spans="1:9" x14ac:dyDescent="0.25">
      <c r="A8" s="679" t="s">
        <v>46</v>
      </c>
      <c r="B8" s="679"/>
      <c r="C8" s="679"/>
      <c r="D8" s="679"/>
      <c r="E8" s="679"/>
      <c r="F8" s="679"/>
      <c r="G8" s="679"/>
      <c r="H8" s="679"/>
      <c r="I8" s="679"/>
    </row>
    <row r="9" spans="1:9" x14ac:dyDescent="0.25">
      <c r="A9" s="679"/>
      <c r="B9" s="679"/>
      <c r="C9" s="679"/>
      <c r="D9" s="679"/>
      <c r="E9" s="679"/>
      <c r="F9" s="679"/>
      <c r="G9" s="679"/>
      <c r="H9" s="679"/>
      <c r="I9" s="679"/>
    </row>
    <row r="10" spans="1:9" x14ac:dyDescent="0.25">
      <c r="A10" s="679"/>
      <c r="B10" s="679"/>
      <c r="C10" s="679"/>
      <c r="D10" s="679"/>
      <c r="E10" s="679"/>
      <c r="F10" s="679"/>
      <c r="G10" s="679"/>
      <c r="H10" s="679"/>
      <c r="I10" s="679"/>
    </row>
    <row r="11" spans="1:9" x14ac:dyDescent="0.25">
      <c r="A11" s="679"/>
      <c r="B11" s="679"/>
      <c r="C11" s="679"/>
      <c r="D11" s="679"/>
      <c r="E11" s="679"/>
      <c r="F11" s="679"/>
      <c r="G11" s="679"/>
      <c r="H11" s="679"/>
      <c r="I11" s="679"/>
    </row>
    <row r="12" spans="1:9" x14ac:dyDescent="0.25">
      <c r="A12" s="679"/>
      <c r="B12" s="679"/>
      <c r="C12" s="679"/>
      <c r="D12" s="679"/>
      <c r="E12" s="679"/>
      <c r="F12" s="679"/>
      <c r="G12" s="679"/>
      <c r="H12" s="679"/>
      <c r="I12" s="679"/>
    </row>
    <row r="13" spans="1:9" x14ac:dyDescent="0.25">
      <c r="A13" s="679"/>
      <c r="B13" s="679"/>
      <c r="C13" s="679"/>
      <c r="D13" s="679"/>
      <c r="E13" s="679"/>
      <c r="F13" s="679"/>
      <c r="G13" s="679"/>
      <c r="H13" s="679"/>
      <c r="I13" s="679"/>
    </row>
    <row r="14" spans="1:9" x14ac:dyDescent="0.25">
      <c r="A14" s="679"/>
      <c r="B14" s="679"/>
      <c r="C14" s="679"/>
      <c r="D14" s="679"/>
      <c r="E14" s="679"/>
      <c r="F14" s="679"/>
      <c r="G14" s="679"/>
      <c r="H14" s="679"/>
      <c r="I14" s="679"/>
    </row>
    <row r="15" spans="1:9" ht="19.5" customHeight="1" x14ac:dyDescent="0.3">
      <c r="A15" s="474"/>
    </row>
    <row r="16" spans="1:9" ht="19.5" customHeight="1" x14ac:dyDescent="0.3">
      <c r="A16" s="711" t="s">
        <v>31</v>
      </c>
      <c r="B16" s="712"/>
      <c r="C16" s="712"/>
      <c r="D16" s="712"/>
      <c r="E16" s="712"/>
      <c r="F16" s="712"/>
      <c r="G16" s="712"/>
      <c r="H16" s="713"/>
    </row>
    <row r="17" spans="1:14" ht="20.25" customHeight="1" x14ac:dyDescent="0.25">
      <c r="A17" s="714" t="s">
        <v>47</v>
      </c>
      <c r="B17" s="714"/>
      <c r="C17" s="714"/>
      <c r="D17" s="714"/>
      <c r="E17" s="714"/>
      <c r="F17" s="714"/>
      <c r="G17" s="714"/>
      <c r="H17" s="714"/>
    </row>
    <row r="18" spans="1:14" ht="26.25" customHeight="1" x14ac:dyDescent="0.4">
      <c r="A18" s="476" t="s">
        <v>33</v>
      </c>
      <c r="B18" s="710" t="s">
        <v>5</v>
      </c>
      <c r="C18" s="710"/>
      <c r="D18" s="619"/>
      <c r="E18" s="477"/>
      <c r="F18" s="478"/>
      <c r="G18" s="478"/>
      <c r="H18" s="478"/>
    </row>
    <row r="19" spans="1:14" ht="26.25" customHeight="1" x14ac:dyDescent="0.4">
      <c r="A19" s="476" t="s">
        <v>34</v>
      </c>
      <c r="B19" s="479" t="s">
        <v>7</v>
      </c>
      <c r="C19" s="628">
        <v>1</v>
      </c>
      <c r="D19" s="478"/>
      <c r="E19" s="478"/>
      <c r="F19" s="478"/>
      <c r="G19" s="478"/>
      <c r="H19" s="478"/>
    </row>
    <row r="20" spans="1:14" ht="26.25" customHeight="1" x14ac:dyDescent="0.4">
      <c r="A20" s="476" t="s">
        <v>35</v>
      </c>
      <c r="B20" s="715" t="s">
        <v>9</v>
      </c>
      <c r="C20" s="715"/>
      <c r="D20" s="478"/>
      <c r="E20" s="478"/>
      <c r="F20" s="478"/>
      <c r="G20" s="478"/>
      <c r="H20" s="478"/>
    </row>
    <row r="21" spans="1:14" ht="26.25" customHeight="1" x14ac:dyDescent="0.4">
      <c r="A21" s="476" t="s">
        <v>36</v>
      </c>
      <c r="B21" s="715" t="s">
        <v>11</v>
      </c>
      <c r="C21" s="715"/>
      <c r="D21" s="715"/>
      <c r="E21" s="715"/>
      <c r="F21" s="715"/>
      <c r="G21" s="715"/>
      <c r="H21" s="715"/>
      <c r="I21" s="480"/>
    </row>
    <row r="22" spans="1:14" ht="26.25" customHeight="1" x14ac:dyDescent="0.4">
      <c r="A22" s="476" t="s">
        <v>37</v>
      </c>
      <c r="B22" s="481">
        <v>43278</v>
      </c>
      <c r="C22" s="478"/>
      <c r="D22" s="478"/>
      <c r="E22" s="478"/>
      <c r="F22" s="478"/>
      <c r="G22" s="478"/>
      <c r="H22" s="478"/>
    </row>
    <row r="23" spans="1:14" ht="26.25" customHeight="1" x14ac:dyDescent="0.4">
      <c r="A23" s="476" t="s">
        <v>38</v>
      </c>
      <c r="B23" s="481">
        <v>43285</v>
      </c>
      <c r="C23" s="478"/>
      <c r="D23" s="478"/>
      <c r="E23" s="478"/>
      <c r="F23" s="478"/>
      <c r="G23" s="478"/>
      <c r="H23" s="478"/>
    </row>
    <row r="24" spans="1:14" ht="18.75" x14ac:dyDescent="0.3">
      <c r="A24" s="476"/>
      <c r="B24" s="482"/>
    </row>
    <row r="25" spans="1:14" ht="18.75" x14ac:dyDescent="0.3">
      <c r="A25" s="483" t="s">
        <v>1</v>
      </c>
      <c r="B25" s="482"/>
    </row>
    <row r="26" spans="1:14" ht="26.25" customHeight="1" x14ac:dyDescent="0.4">
      <c r="A26" s="484" t="s">
        <v>4</v>
      </c>
      <c r="B26" s="710" t="s">
        <v>135</v>
      </c>
      <c r="C26" s="710"/>
    </row>
    <row r="27" spans="1:14" ht="26.25" customHeight="1" x14ac:dyDescent="0.4">
      <c r="A27" s="485" t="s">
        <v>48</v>
      </c>
      <c r="B27" s="716" t="s">
        <v>136</v>
      </c>
      <c r="C27" s="716"/>
    </row>
    <row r="28" spans="1:14" ht="27" customHeight="1" x14ac:dyDescent="0.4">
      <c r="A28" s="485" t="s">
        <v>6</v>
      </c>
      <c r="B28" s="486">
        <v>99.8</v>
      </c>
    </row>
    <row r="29" spans="1:14" s="14" customFormat="1" ht="27" customHeight="1" x14ac:dyDescent="0.4">
      <c r="A29" s="485" t="s">
        <v>49</v>
      </c>
      <c r="B29" s="487">
        <v>0</v>
      </c>
      <c r="C29" s="686" t="s">
        <v>50</v>
      </c>
      <c r="D29" s="687"/>
      <c r="E29" s="687"/>
      <c r="F29" s="687"/>
      <c r="G29" s="688"/>
      <c r="I29" s="488"/>
      <c r="J29" s="488"/>
      <c r="K29" s="488"/>
      <c r="L29" s="488"/>
    </row>
    <row r="30" spans="1:14" s="14" customFormat="1" ht="19.5" customHeight="1" x14ac:dyDescent="0.3">
      <c r="A30" s="485" t="s">
        <v>51</v>
      </c>
      <c r="B30" s="489">
        <f>B28-B29</f>
        <v>99.8</v>
      </c>
      <c r="C30" s="490"/>
      <c r="D30" s="490"/>
      <c r="E30" s="490"/>
      <c r="F30" s="490"/>
      <c r="G30" s="491"/>
      <c r="I30" s="488"/>
      <c r="J30" s="488"/>
      <c r="K30" s="488"/>
      <c r="L30" s="488"/>
    </row>
    <row r="31" spans="1:14" s="14" customFormat="1" ht="27" customHeight="1" x14ac:dyDescent="0.4">
      <c r="A31" s="485" t="s">
        <v>52</v>
      </c>
      <c r="B31" s="492">
        <v>419.38</v>
      </c>
      <c r="C31" s="689" t="s">
        <v>53</v>
      </c>
      <c r="D31" s="690"/>
      <c r="E31" s="690"/>
      <c r="F31" s="690"/>
      <c r="G31" s="690"/>
      <c r="H31" s="691"/>
      <c r="I31" s="488"/>
      <c r="J31" s="488"/>
      <c r="K31" s="488"/>
      <c r="L31" s="488"/>
    </row>
    <row r="32" spans="1:14" s="14" customFormat="1" ht="27" customHeight="1" x14ac:dyDescent="0.4">
      <c r="A32" s="485" t="s">
        <v>54</v>
      </c>
      <c r="B32" s="492">
        <v>441.36</v>
      </c>
      <c r="C32" s="689" t="s">
        <v>55</v>
      </c>
      <c r="D32" s="690"/>
      <c r="E32" s="690"/>
      <c r="F32" s="690"/>
      <c r="G32" s="690"/>
      <c r="H32" s="691"/>
      <c r="I32" s="488"/>
      <c r="J32" s="488"/>
      <c r="K32" s="488"/>
      <c r="L32" s="493"/>
      <c r="M32" s="493"/>
      <c r="N32" s="494"/>
    </row>
    <row r="33" spans="1:14" s="14" customFormat="1" ht="17.25" customHeight="1" x14ac:dyDescent="0.3">
      <c r="A33" s="485"/>
      <c r="B33" s="495"/>
      <c r="C33" s="496"/>
      <c r="D33" s="496"/>
      <c r="E33" s="496"/>
      <c r="F33" s="496"/>
      <c r="G33" s="496"/>
      <c r="H33" s="496"/>
      <c r="I33" s="488"/>
      <c r="J33" s="488"/>
      <c r="K33" s="488"/>
      <c r="L33" s="493"/>
      <c r="M33" s="493"/>
      <c r="N33" s="494"/>
    </row>
    <row r="34" spans="1:14" s="14" customFormat="1" ht="18.75" x14ac:dyDescent="0.3">
      <c r="A34" s="485" t="s">
        <v>56</v>
      </c>
      <c r="B34" s="497">
        <f>B31/B32</f>
        <v>0.9501993837230378</v>
      </c>
      <c r="C34" s="475" t="s">
        <v>57</v>
      </c>
      <c r="D34" s="475"/>
      <c r="E34" s="475"/>
      <c r="F34" s="475"/>
      <c r="G34" s="475"/>
      <c r="I34" s="488"/>
      <c r="J34" s="488"/>
      <c r="K34" s="488"/>
      <c r="L34" s="493"/>
      <c r="M34" s="493"/>
      <c r="N34" s="494"/>
    </row>
    <row r="35" spans="1:14" s="14" customFormat="1" ht="19.5" customHeight="1" x14ac:dyDescent="0.3">
      <c r="A35" s="485"/>
      <c r="B35" s="489"/>
      <c r="G35" s="475"/>
      <c r="I35" s="488"/>
      <c r="J35" s="488"/>
      <c r="K35" s="488"/>
      <c r="L35" s="493"/>
      <c r="M35" s="493"/>
      <c r="N35" s="494"/>
    </row>
    <row r="36" spans="1:14" s="14" customFormat="1" ht="27" customHeight="1" x14ac:dyDescent="0.4">
      <c r="A36" s="498" t="s">
        <v>58</v>
      </c>
      <c r="B36" s="499">
        <v>25</v>
      </c>
      <c r="C36" s="475"/>
      <c r="D36" s="692" t="s">
        <v>59</v>
      </c>
      <c r="E36" s="717"/>
      <c r="F36" s="692" t="s">
        <v>60</v>
      </c>
      <c r="G36" s="693"/>
      <c r="J36" s="488"/>
      <c r="K36" s="488"/>
      <c r="L36" s="493"/>
      <c r="M36" s="493"/>
      <c r="N36" s="494"/>
    </row>
    <row r="37" spans="1:14" s="14" customFormat="1" ht="27" customHeight="1" x14ac:dyDescent="0.4">
      <c r="A37" s="500" t="s">
        <v>61</v>
      </c>
      <c r="B37" s="501">
        <v>3</v>
      </c>
      <c r="C37" s="502" t="s">
        <v>62</v>
      </c>
      <c r="D37" s="503" t="s">
        <v>63</v>
      </c>
      <c r="E37" s="504" t="s">
        <v>64</v>
      </c>
      <c r="F37" s="503" t="s">
        <v>63</v>
      </c>
      <c r="G37" s="505" t="s">
        <v>64</v>
      </c>
      <c r="I37" s="506" t="s">
        <v>65</v>
      </c>
      <c r="J37" s="488"/>
      <c r="K37" s="488"/>
      <c r="L37" s="493"/>
      <c r="M37" s="493"/>
      <c r="N37" s="494"/>
    </row>
    <row r="38" spans="1:14" s="14" customFormat="1" ht="26.25" customHeight="1" x14ac:dyDescent="0.4">
      <c r="A38" s="500" t="s">
        <v>66</v>
      </c>
      <c r="B38" s="501">
        <v>50</v>
      </c>
      <c r="C38" s="507">
        <v>1</v>
      </c>
      <c r="D38" s="508">
        <v>17792615</v>
      </c>
      <c r="E38" s="509">
        <f>IF(ISBLANK(D38),"-",$D$48/$D$45*D38)</f>
        <v>20098131.724686477</v>
      </c>
      <c r="F38" s="508">
        <v>20004655</v>
      </c>
      <c r="G38" s="510">
        <f>IF(ISBLANK(F38),"-",$D$48/$F$45*F38)</f>
        <v>20003032.7424137</v>
      </c>
      <c r="I38" s="511"/>
      <c r="J38" s="488"/>
      <c r="K38" s="488"/>
      <c r="L38" s="493"/>
      <c r="M38" s="493"/>
      <c r="N38" s="494"/>
    </row>
    <row r="39" spans="1:14" s="14" customFormat="1" ht="26.25" customHeight="1" x14ac:dyDescent="0.4">
      <c r="A39" s="500" t="s">
        <v>67</v>
      </c>
      <c r="B39" s="501">
        <v>1</v>
      </c>
      <c r="C39" s="512">
        <v>2</v>
      </c>
      <c r="D39" s="513">
        <v>17890307</v>
      </c>
      <c r="E39" s="514">
        <f>IF(ISBLANK(D39),"-",$D$48/$D$45*D39)</f>
        <v>20208482.377721351</v>
      </c>
      <c r="F39" s="513">
        <v>20096616</v>
      </c>
      <c r="G39" s="515">
        <f>IF(ISBLANK(F39),"-",$D$48/$F$45*F39)</f>
        <v>20094986.284927934</v>
      </c>
      <c r="I39" s="694">
        <f>ABS((F43/D43*D42)-F42)/D42</f>
        <v>4.9775604478043568E-3</v>
      </c>
      <c r="J39" s="488"/>
      <c r="K39" s="488"/>
      <c r="L39" s="493"/>
      <c r="M39" s="493"/>
      <c r="N39" s="494"/>
    </row>
    <row r="40" spans="1:14" ht="26.25" customHeight="1" x14ac:dyDescent="0.4">
      <c r="A40" s="500" t="s">
        <v>68</v>
      </c>
      <c r="B40" s="501">
        <v>1</v>
      </c>
      <c r="C40" s="512">
        <v>3</v>
      </c>
      <c r="D40" s="513">
        <v>17820043</v>
      </c>
      <c r="E40" s="514">
        <f>IF(ISBLANK(D40),"-",$D$48/$D$45*D40)</f>
        <v>20129113.767345451</v>
      </c>
      <c r="F40" s="513">
        <v>20073044</v>
      </c>
      <c r="G40" s="515">
        <f>IF(ISBLANK(F40),"-",$D$48/$F$45*F40)</f>
        <v>20071416.196475815</v>
      </c>
      <c r="I40" s="694"/>
      <c r="L40" s="493"/>
      <c r="M40" s="493"/>
      <c r="N40" s="516"/>
    </row>
    <row r="41" spans="1:14" ht="27" customHeight="1" x14ac:dyDescent="0.4">
      <c r="A41" s="500" t="s">
        <v>69</v>
      </c>
      <c r="B41" s="501">
        <v>1</v>
      </c>
      <c r="C41" s="517">
        <v>4</v>
      </c>
      <c r="D41" s="518"/>
      <c r="E41" s="519" t="str">
        <f>IF(ISBLANK(D41),"-",$D$48/$D$45*D41)</f>
        <v>-</v>
      </c>
      <c r="F41" s="518"/>
      <c r="G41" s="520" t="str">
        <f>IF(ISBLANK(F41),"-",$D$48/$F$45*F41)</f>
        <v>-</v>
      </c>
      <c r="I41" s="521"/>
      <c r="L41" s="493"/>
      <c r="M41" s="493"/>
      <c r="N41" s="516"/>
    </row>
    <row r="42" spans="1:14" ht="27" customHeight="1" x14ac:dyDescent="0.4">
      <c r="A42" s="500" t="s">
        <v>70</v>
      </c>
      <c r="B42" s="501">
        <v>1</v>
      </c>
      <c r="C42" s="522" t="s">
        <v>71</v>
      </c>
      <c r="D42" s="523">
        <f>AVERAGE(D38:D41)</f>
        <v>17834321.666666668</v>
      </c>
      <c r="E42" s="524">
        <f>AVERAGE(E38:E41)</f>
        <v>20145242.623251092</v>
      </c>
      <c r="F42" s="523">
        <f>AVERAGE(F38:F41)</f>
        <v>20058105</v>
      </c>
      <c r="G42" s="525">
        <f>AVERAGE(G38:G41)</f>
        <v>20056478.407939151</v>
      </c>
      <c r="H42" s="526"/>
    </row>
    <row r="43" spans="1:14" ht="26.25" customHeight="1" x14ac:dyDescent="0.4">
      <c r="A43" s="500" t="s">
        <v>72</v>
      </c>
      <c r="B43" s="501">
        <v>1</v>
      </c>
      <c r="C43" s="527" t="s">
        <v>73</v>
      </c>
      <c r="D43" s="528">
        <v>14.19</v>
      </c>
      <c r="E43" s="516"/>
      <c r="F43" s="528">
        <v>16.03</v>
      </c>
      <c r="H43" s="526"/>
    </row>
    <row r="44" spans="1:14" ht="26.25" customHeight="1" x14ac:dyDescent="0.4">
      <c r="A44" s="500" t="s">
        <v>74</v>
      </c>
      <c r="B44" s="501">
        <v>1</v>
      </c>
      <c r="C44" s="529" t="s">
        <v>75</v>
      </c>
      <c r="D44" s="530">
        <f>D43*$B$34</f>
        <v>13.483329255029906</v>
      </c>
      <c r="E44" s="531"/>
      <c r="F44" s="530">
        <f>F43*$B$34</f>
        <v>15.231696121080297</v>
      </c>
      <c r="H44" s="526"/>
    </row>
    <row r="45" spans="1:14" ht="19.5" customHeight="1" x14ac:dyDescent="0.3">
      <c r="A45" s="500" t="s">
        <v>76</v>
      </c>
      <c r="B45" s="532">
        <f>(B44/B43)*(B42/B41)*(B40/B39)*(B38/B37)*B36</f>
        <v>416.66666666666669</v>
      </c>
      <c r="C45" s="529" t="s">
        <v>77</v>
      </c>
      <c r="D45" s="533">
        <f>D44*$B$30/100</f>
        <v>13.456362596519845</v>
      </c>
      <c r="E45" s="534"/>
      <c r="F45" s="533">
        <f>F44*$B$30/100</f>
        <v>15.201232728838136</v>
      </c>
      <c r="H45" s="526"/>
    </row>
    <row r="46" spans="1:14" ht="19.5" customHeight="1" x14ac:dyDescent="0.3">
      <c r="A46" s="680" t="s">
        <v>78</v>
      </c>
      <c r="B46" s="681"/>
      <c r="C46" s="529" t="s">
        <v>79</v>
      </c>
      <c r="D46" s="535">
        <f>D45/$B$45</f>
        <v>3.2295270231647626E-2</v>
      </c>
      <c r="E46" s="536"/>
      <c r="F46" s="537">
        <f>F45/$B$45</f>
        <v>3.6482958549211526E-2</v>
      </c>
      <c r="H46" s="526"/>
    </row>
    <row r="47" spans="1:14" ht="27" customHeight="1" x14ac:dyDescent="0.4">
      <c r="A47" s="682"/>
      <c r="B47" s="683"/>
      <c r="C47" s="538" t="s">
        <v>80</v>
      </c>
      <c r="D47" s="539">
        <v>3.6479999999999999E-2</v>
      </c>
      <c r="E47" s="540"/>
      <c r="F47" s="536"/>
      <c r="H47" s="526"/>
    </row>
    <row r="48" spans="1:14" ht="18.75" x14ac:dyDescent="0.3">
      <c r="C48" s="541" t="s">
        <v>81</v>
      </c>
      <c r="D48" s="533">
        <f>D47*$B$45</f>
        <v>15.2</v>
      </c>
      <c r="F48" s="542"/>
      <c r="H48" s="526"/>
    </row>
    <row r="49" spans="1:12" ht="19.5" customHeight="1" x14ac:dyDescent="0.3">
      <c r="C49" s="543" t="s">
        <v>82</v>
      </c>
      <c r="D49" s="544">
        <f>D48/B34</f>
        <v>15.996642662978683</v>
      </c>
      <c r="F49" s="542"/>
      <c r="H49" s="526"/>
    </row>
    <row r="50" spans="1:12" ht="18.75" x14ac:dyDescent="0.3">
      <c r="C50" s="498" t="s">
        <v>83</v>
      </c>
      <c r="D50" s="545">
        <f>AVERAGE(E38:E41,G38:G41)</f>
        <v>20100860.515595119</v>
      </c>
      <c r="F50" s="546"/>
      <c r="H50" s="526"/>
    </row>
    <row r="51" spans="1:12" ht="18.75" x14ac:dyDescent="0.3">
      <c r="C51" s="500" t="s">
        <v>84</v>
      </c>
      <c r="D51" s="547">
        <f>STDEV(E38:E41,G38:G41)/D50</f>
        <v>3.3638572910707101E-3</v>
      </c>
      <c r="F51" s="546"/>
      <c r="H51" s="526"/>
    </row>
    <row r="52" spans="1:12" ht="19.5" customHeight="1" x14ac:dyDescent="0.3">
      <c r="C52" s="548" t="s">
        <v>20</v>
      </c>
      <c r="D52" s="549">
        <f>COUNT(E38:E41,G38:G41)</f>
        <v>6</v>
      </c>
      <c r="F52" s="546"/>
    </row>
    <row r="54" spans="1:12" ht="18.75" x14ac:dyDescent="0.3">
      <c r="A54" s="550" t="s">
        <v>1</v>
      </c>
      <c r="B54" s="551" t="s">
        <v>85</v>
      </c>
    </row>
    <row r="55" spans="1:12" ht="18.75" x14ac:dyDescent="0.3">
      <c r="A55" s="475" t="s">
        <v>86</v>
      </c>
      <c r="B55" s="552" t="str">
        <f>B21</f>
        <v>Each film-coated tablets containsDolutegravir (as Dolutegravir sodium) 50mg/lamivudine USP 300 mg,Tenofovir disoproxil fumarate (equivalent to 245 mg of tenofovir disoproxil) 300 mg.</v>
      </c>
    </row>
    <row r="56" spans="1:12" ht="26.25" customHeight="1" x14ac:dyDescent="0.4">
      <c r="A56" s="553" t="s">
        <v>87</v>
      </c>
      <c r="B56" s="554">
        <v>50</v>
      </c>
      <c r="C56" s="475" t="str">
        <f>B20</f>
        <v>Dolutegravir (as Dolutegravir sodium) 50mg/lamivudine USP 300 mg,Tenofovir disoproxil fumarate (equivalent to 245 mg of tenofovir disoproxil) 300 mg.</v>
      </c>
      <c r="H56" s="555"/>
    </row>
    <row r="57" spans="1:12" ht="18.75" x14ac:dyDescent="0.3">
      <c r="A57" s="552" t="s">
        <v>88</v>
      </c>
      <c r="B57" s="620">
        <f>Uniformity!C46</f>
        <v>1390.1385</v>
      </c>
      <c r="H57" s="555"/>
    </row>
    <row r="58" spans="1:12" ht="19.5" customHeight="1" x14ac:dyDescent="0.3">
      <c r="H58" s="555"/>
    </row>
    <row r="59" spans="1:12" s="14" customFormat="1" ht="27" customHeight="1" x14ac:dyDescent="0.4">
      <c r="A59" s="498" t="s">
        <v>89</v>
      </c>
      <c r="B59" s="499">
        <v>250</v>
      </c>
      <c r="C59" s="475"/>
      <c r="D59" s="556" t="s">
        <v>90</v>
      </c>
      <c r="E59" s="557" t="s">
        <v>62</v>
      </c>
      <c r="F59" s="557" t="s">
        <v>63</v>
      </c>
      <c r="G59" s="557" t="s">
        <v>91</v>
      </c>
      <c r="H59" s="502" t="s">
        <v>92</v>
      </c>
      <c r="L59" s="488"/>
    </row>
    <row r="60" spans="1:12" s="14" customFormat="1" ht="26.25" customHeight="1" x14ac:dyDescent="0.4">
      <c r="A60" s="500" t="s">
        <v>93</v>
      </c>
      <c r="B60" s="501">
        <v>3</v>
      </c>
      <c r="C60" s="697" t="s">
        <v>94</v>
      </c>
      <c r="D60" s="700">
        <v>2205.1799999999998</v>
      </c>
      <c r="E60" s="558">
        <v>1</v>
      </c>
      <c r="F60" s="559">
        <v>21665598</v>
      </c>
      <c r="G60" s="621">
        <f>IF(ISBLANK(F60),"-",(F60/$D$50*$D$47*$B$68)*($B$57/$D$60))</f>
        <v>51.639692723228293</v>
      </c>
      <c r="H60" s="639">
        <f t="shared" ref="H60:H71" si="0">IF(ISBLANK(F60),"-",(G60/$B$56)*100)</f>
        <v>103.27938544645659</v>
      </c>
      <c r="L60" s="488"/>
    </row>
    <row r="61" spans="1:12" s="14" customFormat="1" ht="26.25" customHeight="1" x14ac:dyDescent="0.4">
      <c r="A61" s="500" t="s">
        <v>95</v>
      </c>
      <c r="B61" s="501">
        <v>25</v>
      </c>
      <c r="C61" s="698"/>
      <c r="D61" s="701"/>
      <c r="E61" s="560">
        <v>2</v>
      </c>
      <c r="F61" s="513">
        <v>21842424</v>
      </c>
      <c r="G61" s="622">
        <f>IF(ISBLANK(F61),"-",(F61/$D$50*$D$47*$B$68)*($B$57/$D$60))</f>
        <v>52.061155371315714</v>
      </c>
      <c r="H61" s="640">
        <f t="shared" si="0"/>
        <v>104.12231074263143</v>
      </c>
      <c r="L61" s="488"/>
    </row>
    <row r="62" spans="1:12" s="14" customFormat="1" ht="26.25" customHeight="1" x14ac:dyDescent="0.4">
      <c r="A62" s="500" t="s">
        <v>96</v>
      </c>
      <c r="B62" s="501">
        <v>1</v>
      </c>
      <c r="C62" s="698"/>
      <c r="D62" s="701"/>
      <c r="E62" s="560">
        <v>3</v>
      </c>
      <c r="F62" s="561">
        <v>21716552</v>
      </c>
      <c r="G62" s="622">
        <f>IF(ISBLANK(F62),"-",(F62/$D$50*$D$47*$B$68)*($B$57/$D$60))</f>
        <v>51.761140970491979</v>
      </c>
      <c r="H62" s="640">
        <f t="shared" si="0"/>
        <v>103.52228194098396</v>
      </c>
      <c r="L62" s="488"/>
    </row>
    <row r="63" spans="1:12" ht="27" customHeight="1" x14ac:dyDescent="0.4">
      <c r="A63" s="500" t="s">
        <v>97</v>
      </c>
      <c r="B63" s="501">
        <v>1</v>
      </c>
      <c r="C63" s="707"/>
      <c r="D63" s="702"/>
      <c r="E63" s="562">
        <v>4</v>
      </c>
      <c r="F63" s="563"/>
      <c r="G63" s="622" t="str">
        <f>IF(ISBLANK(F63),"-",(F63/$D$50*$D$47*$B$68)*($B$57/$D$60))</f>
        <v>-</v>
      </c>
      <c r="H63" s="640" t="str">
        <f t="shared" si="0"/>
        <v>-</v>
      </c>
    </row>
    <row r="64" spans="1:12" ht="26.25" customHeight="1" x14ac:dyDescent="0.4">
      <c r="A64" s="500" t="s">
        <v>98</v>
      </c>
      <c r="B64" s="501">
        <v>1</v>
      </c>
      <c r="C64" s="697" t="s">
        <v>99</v>
      </c>
      <c r="D64" s="700">
        <v>2195.9499999999998</v>
      </c>
      <c r="E64" s="558">
        <v>1</v>
      </c>
      <c r="F64" s="559">
        <v>21768834</v>
      </c>
      <c r="G64" s="621">
        <f>IF(ISBLANK(F64),"-",(F64/$D$50*$D$47*$B$68)*($B$57/$D$64))</f>
        <v>52.103840290463779</v>
      </c>
      <c r="H64" s="639">
        <f t="shared" si="0"/>
        <v>104.20768058092756</v>
      </c>
    </row>
    <row r="65" spans="1:8" ht="26.25" customHeight="1" x14ac:dyDescent="0.4">
      <c r="A65" s="500" t="s">
        <v>100</v>
      </c>
      <c r="B65" s="501">
        <v>1</v>
      </c>
      <c r="C65" s="698"/>
      <c r="D65" s="701"/>
      <c r="E65" s="560">
        <v>2</v>
      </c>
      <c r="F65" s="513">
        <v>21772890</v>
      </c>
      <c r="G65" s="622">
        <f>IF(ISBLANK(F65),"-",(F65/$D$50*$D$47*$B$68)*($B$57/$D$64))</f>
        <v>52.113548351824257</v>
      </c>
      <c r="H65" s="640">
        <f t="shared" si="0"/>
        <v>104.22709670364851</v>
      </c>
    </row>
    <row r="66" spans="1:8" ht="26.25" customHeight="1" x14ac:dyDescent="0.4">
      <c r="A66" s="500" t="s">
        <v>101</v>
      </c>
      <c r="B66" s="501">
        <v>1</v>
      </c>
      <c r="C66" s="698"/>
      <c r="D66" s="701"/>
      <c r="E66" s="560">
        <v>3</v>
      </c>
      <c r="F66" s="513">
        <v>21841500</v>
      </c>
      <c r="G66" s="622">
        <f>IF(ISBLANK(F66),"-",(F66/$D$50*$D$47*$B$68)*($B$57/$D$64))</f>
        <v>52.277766815814047</v>
      </c>
      <c r="H66" s="640">
        <f t="shared" si="0"/>
        <v>104.55553363162808</v>
      </c>
    </row>
    <row r="67" spans="1:8" ht="27" customHeight="1" x14ac:dyDescent="0.4">
      <c r="A67" s="500" t="s">
        <v>102</v>
      </c>
      <c r="B67" s="501">
        <v>1</v>
      </c>
      <c r="C67" s="707"/>
      <c r="D67" s="702"/>
      <c r="E67" s="562">
        <v>4</v>
      </c>
      <c r="F67" s="563"/>
      <c r="G67" s="638" t="str">
        <f>IF(ISBLANK(F67),"-",(F67/$D$50*$D$47*$B$68)*($B$57/$D$64))</f>
        <v>-</v>
      </c>
      <c r="H67" s="641" t="str">
        <f t="shared" si="0"/>
        <v>-</v>
      </c>
    </row>
    <row r="68" spans="1:8" ht="26.25" customHeight="1" x14ac:dyDescent="0.4">
      <c r="A68" s="500" t="s">
        <v>103</v>
      </c>
      <c r="B68" s="564">
        <f>(B67/B66)*(B65/B64)*(B63/B62)*(B61/B60)*B59</f>
        <v>2083.3333333333335</v>
      </c>
      <c r="C68" s="697" t="s">
        <v>104</v>
      </c>
      <c r="D68" s="700">
        <v>2198.9699999999998</v>
      </c>
      <c r="E68" s="558">
        <v>1</v>
      </c>
      <c r="F68" s="559">
        <v>21539928</v>
      </c>
      <c r="G68" s="621">
        <f>IF(ISBLANK(F68),"-",(F68/$D$50*$D$47*$B$68)*($B$57/$D$68))</f>
        <v>51.485146936543593</v>
      </c>
      <c r="H68" s="640">
        <f t="shared" si="0"/>
        <v>102.97029387308719</v>
      </c>
    </row>
    <row r="69" spans="1:8" ht="27" customHeight="1" x14ac:dyDescent="0.4">
      <c r="A69" s="548" t="s">
        <v>105</v>
      </c>
      <c r="B69" s="565">
        <f>(D47*B68)/B56*B57</f>
        <v>2113.0105200000003</v>
      </c>
      <c r="C69" s="698"/>
      <c r="D69" s="701"/>
      <c r="E69" s="560">
        <v>2</v>
      </c>
      <c r="F69" s="513">
        <v>21612155</v>
      </c>
      <c r="G69" s="622">
        <f>IF(ISBLANK(F69),"-",(F69/$D$50*$D$47*$B$68)*($B$57/$D$68))</f>
        <v>51.657785290199463</v>
      </c>
      <c r="H69" s="640">
        <f t="shared" si="0"/>
        <v>103.31557058039893</v>
      </c>
    </row>
    <row r="70" spans="1:8" ht="26.25" customHeight="1" x14ac:dyDescent="0.4">
      <c r="A70" s="703" t="s">
        <v>78</v>
      </c>
      <c r="B70" s="704"/>
      <c r="C70" s="698"/>
      <c r="D70" s="701"/>
      <c r="E70" s="560">
        <v>3</v>
      </c>
      <c r="F70" s="513">
        <v>21706641</v>
      </c>
      <c r="G70" s="622">
        <f>IF(ISBLANK(F70),"-",(F70/$D$50*$D$47*$B$68)*($B$57/$D$68))</f>
        <v>51.883627530407793</v>
      </c>
      <c r="H70" s="640">
        <f t="shared" si="0"/>
        <v>103.76725506081559</v>
      </c>
    </row>
    <row r="71" spans="1:8" ht="27" customHeight="1" x14ac:dyDescent="0.4">
      <c r="A71" s="705"/>
      <c r="B71" s="706"/>
      <c r="C71" s="699"/>
      <c r="D71" s="702"/>
      <c r="E71" s="562">
        <v>4</v>
      </c>
      <c r="F71" s="563"/>
      <c r="G71" s="638" t="str">
        <f>IF(ISBLANK(F71),"-",(F71/$D$50*$D$47*$B$68)*($B$57/$D$68))</f>
        <v>-</v>
      </c>
      <c r="H71" s="641" t="str">
        <f t="shared" si="0"/>
        <v>-</v>
      </c>
    </row>
    <row r="72" spans="1:8" ht="26.25" customHeight="1" x14ac:dyDescent="0.4">
      <c r="A72" s="566"/>
      <c r="B72" s="566"/>
      <c r="C72" s="566"/>
      <c r="D72" s="566"/>
      <c r="E72" s="566"/>
      <c r="F72" s="568" t="s">
        <v>71</v>
      </c>
      <c r="G72" s="627">
        <f>AVERAGE(G60:G71)</f>
        <v>51.887078253365438</v>
      </c>
      <c r="H72" s="642">
        <f>AVERAGE(H60:H71)</f>
        <v>103.77415650673088</v>
      </c>
    </row>
    <row r="73" spans="1:8" ht="26.25" customHeight="1" x14ac:dyDescent="0.4">
      <c r="C73" s="566"/>
      <c r="D73" s="566"/>
      <c r="E73" s="566"/>
      <c r="F73" s="569" t="s">
        <v>84</v>
      </c>
      <c r="G73" s="626">
        <f>STDEV(G60:G71)/G72</f>
        <v>5.1552488899624061E-3</v>
      </c>
      <c r="H73" s="626">
        <f>STDEV(H60:H71)/H72</f>
        <v>5.155248889962381E-3</v>
      </c>
    </row>
    <row r="74" spans="1:8" ht="27" customHeight="1" x14ac:dyDescent="0.4">
      <c r="A74" s="566"/>
      <c r="B74" s="566"/>
      <c r="C74" s="567"/>
      <c r="D74" s="567"/>
      <c r="E74" s="570"/>
      <c r="F74" s="571" t="s">
        <v>20</v>
      </c>
      <c r="G74" s="572">
        <f>COUNT(G60:G71)</f>
        <v>9</v>
      </c>
      <c r="H74" s="572">
        <f>COUNT(H60:H71)</f>
        <v>9</v>
      </c>
    </row>
    <row r="76" spans="1:8" ht="26.25" customHeight="1" x14ac:dyDescent="0.4">
      <c r="A76" s="484" t="s">
        <v>106</v>
      </c>
      <c r="B76" s="573" t="s">
        <v>107</v>
      </c>
      <c r="C76" s="684" t="str">
        <f>B26</f>
        <v>DOLUTEGRAVIR SODIUM</v>
      </c>
      <c r="D76" s="684"/>
      <c r="E76" s="574" t="s">
        <v>108</v>
      </c>
      <c r="F76" s="574"/>
      <c r="G76" s="661">
        <f>H72</f>
        <v>103.77415650673088</v>
      </c>
      <c r="H76" s="576"/>
    </row>
    <row r="77" spans="1:8" ht="18.75" x14ac:dyDescent="0.3">
      <c r="A77" s="483" t="s">
        <v>109</v>
      </c>
      <c r="B77" s="483" t="s">
        <v>110</v>
      </c>
    </row>
    <row r="78" spans="1:8" ht="18.75" x14ac:dyDescent="0.3">
      <c r="A78" s="483"/>
      <c r="B78" s="483"/>
    </row>
    <row r="79" spans="1:8" ht="26.25" customHeight="1" x14ac:dyDescent="0.4">
      <c r="A79" s="484" t="s">
        <v>4</v>
      </c>
      <c r="B79" s="718" t="str">
        <f>B26</f>
        <v>DOLUTEGRAVIR SODIUM</v>
      </c>
      <c r="C79" s="718"/>
    </row>
    <row r="80" spans="1:8" ht="26.25" customHeight="1" x14ac:dyDescent="0.4">
      <c r="A80" s="583" t="s">
        <v>48</v>
      </c>
      <c r="B80" s="718" t="str">
        <f>B27</f>
        <v>D32-2</v>
      </c>
      <c r="C80" s="718"/>
      <c r="D80" s="662"/>
      <c r="E80" s="662"/>
      <c r="F80" s="662"/>
      <c r="G80" s="662"/>
      <c r="H80" s="662"/>
    </row>
    <row r="81" spans="1:12" ht="27" customHeight="1" x14ac:dyDescent="0.4">
      <c r="A81" s="583" t="s">
        <v>6</v>
      </c>
      <c r="B81" s="577">
        <f>B28</f>
        <v>99.8</v>
      </c>
      <c r="C81" s="662"/>
      <c r="D81" s="662"/>
      <c r="E81" s="662"/>
      <c r="F81" s="662"/>
      <c r="G81" s="662"/>
      <c r="H81" s="662"/>
    </row>
    <row r="82" spans="1:12" s="14" customFormat="1" ht="27" customHeight="1" x14ac:dyDescent="0.4">
      <c r="A82" s="583" t="s">
        <v>49</v>
      </c>
      <c r="B82" s="487">
        <v>0</v>
      </c>
      <c r="C82" s="719" t="s">
        <v>50</v>
      </c>
      <c r="D82" s="720"/>
      <c r="E82" s="720"/>
      <c r="F82" s="720"/>
      <c r="G82" s="721"/>
      <c r="H82" s="16"/>
      <c r="I82" s="488"/>
      <c r="J82" s="488"/>
      <c r="K82" s="488"/>
      <c r="L82" s="488"/>
    </row>
    <row r="83" spans="1:12" s="14" customFormat="1" ht="19.5" customHeight="1" x14ac:dyDescent="0.3">
      <c r="A83" s="583" t="s">
        <v>51</v>
      </c>
      <c r="B83" s="657">
        <f>B81-B82</f>
        <v>99.8</v>
      </c>
      <c r="C83" s="663"/>
      <c r="D83" s="663"/>
      <c r="E83" s="663"/>
      <c r="F83" s="663"/>
      <c r="G83" s="664"/>
      <c r="H83" s="16"/>
      <c r="I83" s="488"/>
      <c r="J83" s="488"/>
      <c r="K83" s="488"/>
      <c r="L83" s="488"/>
    </row>
    <row r="84" spans="1:12" s="14" customFormat="1" ht="27" customHeight="1" x14ac:dyDescent="0.4">
      <c r="A84" s="583" t="s">
        <v>52</v>
      </c>
      <c r="B84" s="492">
        <v>419.38</v>
      </c>
      <c r="C84" s="722" t="s">
        <v>111</v>
      </c>
      <c r="D84" s="723"/>
      <c r="E84" s="723"/>
      <c r="F84" s="723"/>
      <c r="G84" s="723"/>
      <c r="H84" s="724"/>
      <c r="I84" s="488"/>
      <c r="J84" s="488"/>
      <c r="K84" s="488"/>
      <c r="L84" s="488"/>
    </row>
    <row r="85" spans="1:12" s="14" customFormat="1" ht="27" customHeight="1" x14ac:dyDescent="0.4">
      <c r="A85" s="583" t="s">
        <v>54</v>
      </c>
      <c r="B85" s="492">
        <v>441.36</v>
      </c>
      <c r="C85" s="722" t="s">
        <v>112</v>
      </c>
      <c r="D85" s="723"/>
      <c r="E85" s="723"/>
      <c r="F85" s="723"/>
      <c r="G85" s="723"/>
      <c r="H85" s="724"/>
      <c r="I85" s="488"/>
      <c r="J85" s="488"/>
      <c r="K85" s="488"/>
      <c r="L85" s="488"/>
    </row>
    <row r="86" spans="1:12" s="14" customFormat="1" ht="18.75" x14ac:dyDescent="0.3">
      <c r="A86" s="583"/>
      <c r="B86" s="495"/>
      <c r="C86" s="665"/>
      <c r="D86" s="665"/>
      <c r="E86" s="665"/>
      <c r="F86" s="665"/>
      <c r="G86" s="665"/>
      <c r="H86" s="665"/>
      <c r="I86" s="488"/>
      <c r="J86" s="488"/>
      <c r="K86" s="488"/>
      <c r="L86" s="488"/>
    </row>
    <row r="87" spans="1:12" s="14" customFormat="1" ht="18.75" x14ac:dyDescent="0.3">
      <c r="A87" s="583" t="s">
        <v>56</v>
      </c>
      <c r="B87" s="497">
        <f>B84/B85</f>
        <v>0.9501993837230378</v>
      </c>
      <c r="C87" s="666" t="s">
        <v>57</v>
      </c>
      <c r="D87" s="666"/>
      <c r="E87" s="666"/>
      <c r="F87" s="666"/>
      <c r="G87" s="666"/>
      <c r="H87" s="16"/>
      <c r="I87" s="488"/>
      <c r="J87" s="488"/>
      <c r="K87" s="488"/>
      <c r="L87" s="488"/>
    </row>
    <row r="88" spans="1:12" ht="19.5" customHeight="1" x14ac:dyDescent="0.3">
      <c r="A88" s="483"/>
      <c r="B88" s="483"/>
      <c r="C88" s="662"/>
      <c r="D88" s="662"/>
      <c r="E88" s="662"/>
      <c r="F88" s="662"/>
      <c r="G88" s="662"/>
      <c r="H88" s="662"/>
    </row>
    <row r="89" spans="1:12" ht="27" customHeight="1" x14ac:dyDescent="0.4">
      <c r="A89" s="498" t="s">
        <v>58</v>
      </c>
      <c r="B89" s="499">
        <v>50</v>
      </c>
      <c r="C89" s="662"/>
      <c r="D89" s="659" t="s">
        <v>59</v>
      </c>
      <c r="E89" s="660"/>
      <c r="F89" s="692" t="s">
        <v>60</v>
      </c>
      <c r="G89" s="693"/>
      <c r="H89" s="662"/>
    </row>
    <row r="90" spans="1:12" ht="27" customHeight="1" x14ac:dyDescent="0.4">
      <c r="A90" s="500" t="s">
        <v>61</v>
      </c>
      <c r="B90" s="501">
        <v>10</v>
      </c>
      <c r="C90" s="658" t="s">
        <v>62</v>
      </c>
      <c r="D90" s="503" t="s">
        <v>63</v>
      </c>
      <c r="E90" s="504" t="s">
        <v>64</v>
      </c>
      <c r="F90" s="503" t="s">
        <v>63</v>
      </c>
      <c r="G90" s="579" t="s">
        <v>64</v>
      </c>
      <c r="H90" s="662"/>
      <c r="I90" s="506" t="s">
        <v>65</v>
      </c>
    </row>
    <row r="91" spans="1:12" ht="26.25" customHeight="1" x14ac:dyDescent="0.4">
      <c r="A91" s="500" t="s">
        <v>66</v>
      </c>
      <c r="B91" s="501">
        <v>100</v>
      </c>
      <c r="C91" s="580">
        <v>1</v>
      </c>
      <c r="D91" s="508">
        <v>25925395</v>
      </c>
      <c r="E91" s="509">
        <f>IF(ISBLANK(D91),"-",$D$101/$D$98*D91)</f>
        <v>25629842.896239247</v>
      </c>
      <c r="F91" s="508">
        <v>26955809</v>
      </c>
      <c r="G91" s="510">
        <f>IF(ISBLANK(F91),"-",$D$101/$F$98*F91)</f>
        <v>24971390.052847005</v>
      </c>
      <c r="H91" s="662"/>
      <c r="I91" s="511"/>
    </row>
    <row r="92" spans="1:12" ht="26.25" customHeight="1" x14ac:dyDescent="0.4">
      <c r="A92" s="500" t="s">
        <v>67</v>
      </c>
      <c r="B92" s="501">
        <v>1</v>
      </c>
      <c r="C92" s="591">
        <v>2</v>
      </c>
      <c r="D92" s="513">
        <v>25726936</v>
      </c>
      <c r="E92" s="514">
        <f>IF(ISBLANK(D92),"-",$D$101/$D$98*D92)</f>
        <v>25433646.34874808</v>
      </c>
      <c r="F92" s="513">
        <v>26903042</v>
      </c>
      <c r="G92" s="515">
        <f>IF(ISBLANK(F92),"-",$D$101/$F$98*F92)</f>
        <v>24922507.626839366</v>
      </c>
      <c r="H92" s="662"/>
      <c r="I92" s="694">
        <f>ABS((F96/D96*D95)-F95)/D95</f>
        <v>2.2905306968513645E-2</v>
      </c>
    </row>
    <row r="93" spans="1:12" ht="26.25" customHeight="1" x14ac:dyDescent="0.4">
      <c r="A93" s="500" t="s">
        <v>68</v>
      </c>
      <c r="B93" s="501">
        <v>1</v>
      </c>
      <c r="C93" s="591">
        <v>3</v>
      </c>
      <c r="D93" s="513">
        <v>25667008</v>
      </c>
      <c r="E93" s="514">
        <f>IF(ISBLANK(D93),"-",$D$101/$D$98*D93)</f>
        <v>25374401.533959884</v>
      </c>
      <c r="F93" s="513">
        <v>26882360</v>
      </c>
      <c r="G93" s="515">
        <f>IF(ISBLANK(F93),"-",$D$101/$F$98*F93)</f>
        <v>24903348.183727384</v>
      </c>
      <c r="H93" s="662"/>
      <c r="I93" s="694"/>
    </row>
    <row r="94" spans="1:12" ht="27" customHeight="1" x14ac:dyDescent="0.4">
      <c r="A94" s="500" t="s">
        <v>69</v>
      </c>
      <c r="B94" s="501">
        <v>1</v>
      </c>
      <c r="C94" s="581">
        <v>4</v>
      </c>
      <c r="D94" s="518"/>
      <c r="E94" s="519" t="str">
        <f>IF(ISBLANK(D94),"-",$D$101/$D$98*D94)</f>
        <v>-</v>
      </c>
      <c r="F94" s="582"/>
      <c r="G94" s="520" t="str">
        <f>IF(ISBLANK(F94),"-",$D$101/$F$98*F94)</f>
        <v>-</v>
      </c>
      <c r="H94" s="662"/>
      <c r="I94" s="521"/>
    </row>
    <row r="95" spans="1:12" ht="27" customHeight="1" x14ac:dyDescent="0.4">
      <c r="A95" s="500" t="s">
        <v>70</v>
      </c>
      <c r="B95" s="501">
        <v>1</v>
      </c>
      <c r="C95" s="583" t="s">
        <v>71</v>
      </c>
      <c r="D95" s="584">
        <f>AVERAGE(D91:D94)</f>
        <v>25773113</v>
      </c>
      <c r="E95" s="524">
        <f>AVERAGE(E91:E94)</f>
        <v>25479296.926315736</v>
      </c>
      <c r="F95" s="585">
        <f>AVERAGE(F91:F94)</f>
        <v>26913737</v>
      </c>
      <c r="G95" s="586">
        <f>AVERAGE(G91:G94)</f>
        <v>24932415.287804585</v>
      </c>
      <c r="H95" s="662"/>
    </row>
    <row r="96" spans="1:12" ht="26.25" customHeight="1" x14ac:dyDescent="0.4">
      <c r="A96" s="500" t="s">
        <v>72</v>
      </c>
      <c r="B96" s="577">
        <v>1</v>
      </c>
      <c r="C96" s="587" t="s">
        <v>113</v>
      </c>
      <c r="D96" s="588">
        <v>29.63</v>
      </c>
      <c r="E96" s="666"/>
      <c r="F96" s="528">
        <v>31.62</v>
      </c>
      <c r="G96" s="662"/>
      <c r="H96" s="662"/>
    </row>
    <row r="97" spans="1:10" ht="26.25" customHeight="1" x14ac:dyDescent="0.4">
      <c r="A97" s="500" t="s">
        <v>74</v>
      </c>
      <c r="B97" s="577">
        <v>1</v>
      </c>
      <c r="C97" s="589" t="s">
        <v>114</v>
      </c>
      <c r="D97" s="590">
        <f>D96*$B$87</f>
        <v>28.154407739713609</v>
      </c>
      <c r="E97" s="591"/>
      <c r="F97" s="530">
        <f>F96*$B$87</f>
        <v>30.045304513322456</v>
      </c>
      <c r="G97" s="662"/>
      <c r="H97" s="662"/>
    </row>
    <row r="98" spans="1:10" ht="19.5" customHeight="1" x14ac:dyDescent="0.3">
      <c r="A98" s="500" t="s">
        <v>76</v>
      </c>
      <c r="B98" s="591">
        <f>(B97/B96)*(B95/B94)*(B93/B92)*(B91/B90)*B89</f>
        <v>500</v>
      </c>
      <c r="C98" s="589" t="s">
        <v>115</v>
      </c>
      <c r="D98" s="592">
        <f>D97*$B$83/100</f>
        <v>28.098098924234183</v>
      </c>
      <c r="E98" s="570"/>
      <c r="F98" s="533">
        <f>F97*$B$83/100</f>
        <v>29.985213904295811</v>
      </c>
      <c r="G98" s="662"/>
      <c r="H98" s="662"/>
    </row>
    <row r="99" spans="1:10" ht="19.5" customHeight="1" x14ac:dyDescent="0.3">
      <c r="A99" s="725" t="s">
        <v>78</v>
      </c>
      <c r="B99" s="726"/>
      <c r="C99" s="589" t="s">
        <v>116</v>
      </c>
      <c r="D99" s="593">
        <f>D98/$B$98</f>
        <v>5.6196197848468368E-2</v>
      </c>
      <c r="E99" s="570"/>
      <c r="F99" s="537">
        <f>F98/$B$98</f>
        <v>5.9970427808591624E-2</v>
      </c>
      <c r="G99" s="662"/>
      <c r="H99" s="526"/>
    </row>
    <row r="100" spans="1:10" ht="19.5" customHeight="1" x14ac:dyDescent="0.3">
      <c r="A100" s="727"/>
      <c r="B100" s="728"/>
      <c r="C100" s="589" t="s">
        <v>80</v>
      </c>
      <c r="D100" s="595">
        <f>$B$56/$B$116</f>
        <v>5.5555555555555552E-2</v>
      </c>
      <c r="E100" s="662"/>
      <c r="F100" s="542"/>
      <c r="G100" s="601"/>
      <c r="H100" s="526"/>
    </row>
    <row r="101" spans="1:10" ht="18.75" x14ac:dyDescent="0.3">
      <c r="A101" s="662"/>
      <c r="B101" s="662"/>
      <c r="C101" s="589" t="s">
        <v>81</v>
      </c>
      <c r="D101" s="590">
        <f>D100*$B$98</f>
        <v>27.777777777777775</v>
      </c>
      <c r="E101" s="662"/>
      <c r="F101" s="542"/>
      <c r="G101" s="662"/>
      <c r="H101" s="526"/>
    </row>
    <row r="102" spans="1:10" ht="19.5" customHeight="1" x14ac:dyDescent="0.3">
      <c r="A102" s="662"/>
      <c r="B102" s="662"/>
      <c r="C102" s="596" t="s">
        <v>82</v>
      </c>
      <c r="D102" s="597">
        <f>D101/B34</f>
        <v>29.23363059754876</v>
      </c>
      <c r="E102" s="662"/>
      <c r="F102" s="546"/>
      <c r="G102" s="662"/>
      <c r="H102" s="526"/>
      <c r="J102" s="598"/>
    </row>
    <row r="103" spans="1:10" ht="18.75" x14ac:dyDescent="0.3">
      <c r="A103" s="662"/>
      <c r="B103" s="662"/>
      <c r="C103" s="599" t="s">
        <v>117</v>
      </c>
      <c r="D103" s="600">
        <f>AVERAGE(E91:E94,G91:G94)</f>
        <v>25205856.10706016</v>
      </c>
      <c r="E103" s="662"/>
      <c r="F103" s="546"/>
      <c r="G103" s="601"/>
      <c r="H103" s="526"/>
      <c r="J103" s="602"/>
    </row>
    <row r="104" spans="1:10" ht="18.75" x14ac:dyDescent="0.3">
      <c r="A104" s="662"/>
      <c r="B104" s="662"/>
      <c r="C104" s="569" t="s">
        <v>84</v>
      </c>
      <c r="D104" s="603">
        <f>STDEV(E91:E94,G91:G94)/D103</f>
        <v>1.2379506192907161E-2</v>
      </c>
      <c r="E104" s="662"/>
      <c r="F104" s="546"/>
      <c r="G104" s="662"/>
      <c r="H104" s="526"/>
      <c r="J104" s="602"/>
    </row>
    <row r="105" spans="1:10" ht="19.5" customHeight="1" x14ac:dyDescent="0.3">
      <c r="A105" s="662"/>
      <c r="B105" s="662"/>
      <c r="C105" s="571" t="s">
        <v>20</v>
      </c>
      <c r="D105" s="604">
        <f>COUNT(E91:E94,G91:G94)</f>
        <v>6</v>
      </c>
      <c r="E105" s="662"/>
      <c r="F105" s="546"/>
      <c r="G105" s="662"/>
      <c r="H105" s="526"/>
      <c r="J105" s="602"/>
    </row>
    <row r="106" spans="1:10" ht="19.5" customHeight="1" x14ac:dyDescent="0.3">
      <c r="A106" s="667"/>
      <c r="B106" s="667"/>
      <c r="C106" s="667"/>
      <c r="D106" s="667"/>
      <c r="E106" s="667"/>
      <c r="F106" s="662"/>
      <c r="G106" s="662"/>
      <c r="H106" s="662"/>
    </row>
    <row r="107" spans="1:10" ht="27" customHeight="1" x14ac:dyDescent="0.4">
      <c r="A107" s="498" t="s">
        <v>118</v>
      </c>
      <c r="B107" s="499">
        <v>900</v>
      </c>
      <c r="C107" s="643" t="s">
        <v>119</v>
      </c>
      <c r="D107" s="643" t="s">
        <v>63</v>
      </c>
      <c r="E107" s="643" t="s">
        <v>120</v>
      </c>
      <c r="F107" s="605" t="s">
        <v>121</v>
      </c>
      <c r="G107" s="662"/>
      <c r="H107" s="662"/>
    </row>
    <row r="108" spans="1:10" ht="26.25" customHeight="1" x14ac:dyDescent="0.4">
      <c r="A108" s="500" t="s">
        <v>122</v>
      </c>
      <c r="B108" s="501">
        <v>1</v>
      </c>
      <c r="C108" s="648">
        <v>1</v>
      </c>
      <c r="D108" s="649">
        <v>27292218</v>
      </c>
      <c r="E108" s="623">
        <f t="shared" ref="E108:E113" si="1">IF(ISBLANK(D108),"-",D108/$D$103*$D$100*$B$116)</f>
        <v>54.138645170547193</v>
      </c>
      <c r="F108" s="650">
        <f t="shared" ref="F108:F113" si="2">IF(ISBLANK(D108), "-", (E108/$B$56)*100)</f>
        <v>108.27729034109439</v>
      </c>
      <c r="G108" s="662"/>
      <c r="H108" s="662"/>
    </row>
    <row r="109" spans="1:10" ht="26.25" customHeight="1" x14ac:dyDescent="0.4">
      <c r="A109" s="500" t="s">
        <v>95</v>
      </c>
      <c r="B109" s="501">
        <v>1</v>
      </c>
      <c r="C109" s="644">
        <v>2</v>
      </c>
      <c r="D109" s="646">
        <v>26878511</v>
      </c>
      <c r="E109" s="624">
        <f t="shared" si="1"/>
        <v>53.317988656753712</v>
      </c>
      <c r="F109" s="652">
        <f t="shared" si="2"/>
        <v>106.63597731350742</v>
      </c>
      <c r="G109" s="662"/>
      <c r="H109" s="662"/>
    </row>
    <row r="110" spans="1:10" ht="26.25" customHeight="1" x14ac:dyDescent="0.4">
      <c r="A110" s="500" t="s">
        <v>96</v>
      </c>
      <c r="B110" s="501">
        <v>1</v>
      </c>
      <c r="C110" s="644">
        <v>3</v>
      </c>
      <c r="D110" s="646">
        <v>25927056</v>
      </c>
      <c r="E110" s="624">
        <f t="shared" si="1"/>
        <v>51.430619713681985</v>
      </c>
      <c r="F110" s="652">
        <f t="shared" si="2"/>
        <v>102.86123942736396</v>
      </c>
      <c r="G110" s="662"/>
      <c r="H110" s="662"/>
    </row>
    <row r="111" spans="1:10" ht="26.25" customHeight="1" x14ac:dyDescent="0.4">
      <c r="A111" s="500" t="s">
        <v>97</v>
      </c>
      <c r="B111" s="501">
        <v>1</v>
      </c>
      <c r="C111" s="644">
        <v>4</v>
      </c>
      <c r="D111" s="646">
        <v>25200350</v>
      </c>
      <c r="E111" s="624">
        <f t="shared" si="1"/>
        <v>49.98907772258007</v>
      </c>
      <c r="F111" s="652">
        <f t="shared" si="2"/>
        <v>99.978155445160141</v>
      </c>
      <c r="G111" s="662"/>
      <c r="H111" s="662"/>
    </row>
    <row r="112" spans="1:10" ht="26.25" customHeight="1" x14ac:dyDescent="0.4">
      <c r="A112" s="500" t="s">
        <v>98</v>
      </c>
      <c r="B112" s="501">
        <v>1</v>
      </c>
      <c r="C112" s="644">
        <v>5</v>
      </c>
      <c r="D112" s="646">
        <v>26506166</v>
      </c>
      <c r="E112" s="624">
        <f t="shared" si="1"/>
        <v>52.579380536445306</v>
      </c>
      <c r="F112" s="652">
        <f t="shared" si="2"/>
        <v>105.15876107289061</v>
      </c>
      <c r="G112" s="662"/>
      <c r="H112" s="662"/>
    </row>
    <row r="113" spans="1:10" ht="27" customHeight="1" x14ac:dyDescent="0.4">
      <c r="A113" s="500" t="s">
        <v>100</v>
      </c>
      <c r="B113" s="501">
        <v>1</v>
      </c>
      <c r="C113" s="645">
        <v>6</v>
      </c>
      <c r="D113" s="647">
        <v>27357439</v>
      </c>
      <c r="E113" s="625">
        <f t="shared" si="1"/>
        <v>54.268021851352984</v>
      </c>
      <c r="F113" s="651">
        <f t="shared" si="2"/>
        <v>108.53604370270598</v>
      </c>
      <c r="G113" s="662"/>
      <c r="H113" s="662"/>
    </row>
    <row r="114" spans="1:10" ht="27" customHeight="1" x14ac:dyDescent="0.4">
      <c r="A114" s="500" t="s">
        <v>101</v>
      </c>
      <c r="B114" s="501">
        <v>1</v>
      </c>
      <c r="C114" s="606"/>
      <c r="D114" s="591"/>
      <c r="E114" s="666"/>
      <c r="F114" s="652"/>
      <c r="G114" s="662"/>
      <c r="H114" s="662"/>
    </row>
    <row r="115" spans="1:10" ht="26.25" customHeight="1" x14ac:dyDescent="0.4">
      <c r="A115" s="500" t="s">
        <v>102</v>
      </c>
      <c r="B115" s="501">
        <v>1</v>
      </c>
      <c r="C115" s="606"/>
      <c r="D115" s="630" t="s">
        <v>71</v>
      </c>
      <c r="E115" s="632">
        <f>AVERAGE(E108:E113)</f>
        <v>52.620622275226879</v>
      </c>
      <c r="F115" s="653">
        <f>AVERAGE(F108:F113)</f>
        <v>105.24124455045376</v>
      </c>
      <c r="G115" s="662"/>
      <c r="H115" s="662"/>
    </row>
    <row r="116" spans="1:10" ht="27" customHeight="1" x14ac:dyDescent="0.4">
      <c r="A116" s="500" t="s">
        <v>103</v>
      </c>
      <c r="B116" s="532">
        <f>(B115/B114)*(B113/B112)*(B111/B110)*(B109/B108)*B107</f>
        <v>900</v>
      </c>
      <c r="C116" s="607"/>
      <c r="D116" s="631" t="s">
        <v>84</v>
      </c>
      <c r="E116" s="629">
        <f>STDEV(E108:E113)/E115</f>
        <v>3.1626000478903682E-2</v>
      </c>
      <c r="F116" s="608">
        <f>STDEV(F108:F113)/F115</f>
        <v>3.1626000478903737E-2</v>
      </c>
      <c r="I116" s="474"/>
    </row>
    <row r="117" spans="1:10" ht="27" customHeight="1" x14ac:dyDescent="0.4">
      <c r="A117" s="680" t="s">
        <v>78</v>
      </c>
      <c r="B117" s="681"/>
      <c r="C117" s="609"/>
      <c r="D117" s="571" t="s">
        <v>20</v>
      </c>
      <c r="E117" s="634">
        <f>COUNT(E108:E113)</f>
        <v>6</v>
      </c>
      <c r="F117" s="635">
        <f>COUNT(F108:F113)</f>
        <v>6</v>
      </c>
      <c r="I117" s="474"/>
      <c r="J117" s="602"/>
    </row>
    <row r="118" spans="1:10" ht="26.25" customHeight="1" x14ac:dyDescent="0.3">
      <c r="A118" s="682"/>
      <c r="B118" s="683"/>
      <c r="C118" s="474"/>
      <c r="D118" s="633"/>
      <c r="E118" s="708" t="s">
        <v>123</v>
      </c>
      <c r="F118" s="709"/>
      <c r="G118" s="474"/>
      <c r="H118" s="474"/>
      <c r="I118" s="474"/>
    </row>
    <row r="119" spans="1:10" ht="25.5" customHeight="1" x14ac:dyDescent="0.4">
      <c r="A119" s="618"/>
      <c r="B119" s="496"/>
      <c r="C119" s="474"/>
      <c r="D119" s="631" t="s">
        <v>124</v>
      </c>
      <c r="E119" s="636">
        <f>MIN(E108:E113)</f>
        <v>49.98907772258007</v>
      </c>
      <c r="F119" s="654">
        <f>MIN(F108:F113)</f>
        <v>99.978155445160141</v>
      </c>
      <c r="G119" s="474"/>
      <c r="H119" s="474"/>
      <c r="I119" s="474"/>
    </row>
    <row r="120" spans="1:10" ht="24" customHeight="1" x14ac:dyDescent="0.4">
      <c r="A120" s="618"/>
      <c r="B120" s="496"/>
      <c r="C120" s="474"/>
      <c r="D120" s="543" t="s">
        <v>125</v>
      </c>
      <c r="E120" s="637">
        <f>MAX(E108:E113)</f>
        <v>54.268021851352984</v>
      </c>
      <c r="F120" s="655">
        <f>MAX(F108:F113)</f>
        <v>108.53604370270598</v>
      </c>
      <c r="G120" s="474"/>
      <c r="H120" s="474"/>
      <c r="I120" s="474"/>
    </row>
    <row r="121" spans="1:10" ht="27" customHeight="1" x14ac:dyDescent="0.3">
      <c r="A121" s="618"/>
      <c r="B121" s="496"/>
      <c r="C121" s="474"/>
      <c r="D121" s="474"/>
      <c r="E121" s="474"/>
      <c r="F121" s="567"/>
      <c r="G121" s="474"/>
      <c r="H121" s="474"/>
      <c r="I121" s="474"/>
    </row>
    <row r="122" spans="1:10" ht="25.5" customHeight="1" x14ac:dyDescent="0.3">
      <c r="A122" s="618"/>
      <c r="B122" s="496"/>
      <c r="C122" s="474"/>
      <c r="D122" s="474"/>
      <c r="E122" s="474"/>
      <c r="F122" s="567"/>
      <c r="G122" s="474"/>
      <c r="H122" s="474"/>
      <c r="I122" s="474"/>
    </row>
    <row r="123" spans="1:10" ht="18.75" x14ac:dyDescent="0.3">
      <c r="A123" s="618"/>
      <c r="B123" s="496"/>
      <c r="C123" s="474"/>
      <c r="D123" s="474"/>
      <c r="E123" s="474"/>
      <c r="F123" s="567"/>
      <c r="G123" s="474"/>
      <c r="H123" s="474"/>
      <c r="I123" s="474"/>
    </row>
    <row r="124" spans="1:10" ht="45.75" customHeight="1" x14ac:dyDescent="0.65">
      <c r="A124" s="484" t="s">
        <v>106</v>
      </c>
      <c r="B124" s="573" t="s">
        <v>126</v>
      </c>
      <c r="C124" s="684" t="str">
        <f>B26</f>
        <v>DOLUTEGRAVIR SODIUM</v>
      </c>
      <c r="D124" s="684"/>
      <c r="E124" s="574" t="s">
        <v>127</v>
      </c>
      <c r="F124" s="574"/>
      <c r="G124" s="656">
        <f>F115</f>
        <v>105.24124455045376</v>
      </c>
      <c r="H124" s="474"/>
      <c r="I124" s="474"/>
    </row>
    <row r="125" spans="1:10" ht="45.75" customHeight="1" x14ac:dyDescent="0.65">
      <c r="A125" s="484"/>
      <c r="B125" s="573" t="s">
        <v>128</v>
      </c>
      <c r="C125" s="485" t="s">
        <v>129</v>
      </c>
      <c r="D125" s="656">
        <f>MIN(F108:F113)</f>
        <v>99.978155445160141</v>
      </c>
      <c r="E125" s="583" t="s">
        <v>130</v>
      </c>
      <c r="F125" s="656">
        <f>MAX(F108:F113)</f>
        <v>108.53604370270598</v>
      </c>
      <c r="G125" s="575"/>
      <c r="H125" s="474"/>
      <c r="I125" s="474"/>
    </row>
    <row r="126" spans="1:10" ht="19.5" customHeight="1" x14ac:dyDescent="0.3">
      <c r="A126" s="610"/>
      <c r="B126" s="610"/>
      <c r="C126" s="611"/>
      <c r="D126" s="611"/>
      <c r="E126" s="611"/>
      <c r="F126" s="611"/>
      <c r="G126" s="611"/>
      <c r="H126" s="611"/>
    </row>
    <row r="127" spans="1:10" ht="18.75" x14ac:dyDescent="0.3">
      <c r="B127" s="685" t="s">
        <v>26</v>
      </c>
      <c r="C127" s="685"/>
      <c r="E127" s="578" t="s">
        <v>27</v>
      </c>
      <c r="F127" s="612"/>
      <c r="G127" s="685" t="s">
        <v>28</v>
      </c>
      <c r="H127" s="685"/>
    </row>
    <row r="128" spans="1:10" ht="69.95" customHeight="1" x14ac:dyDescent="0.3">
      <c r="A128" s="613" t="s">
        <v>29</v>
      </c>
      <c r="B128" s="614"/>
      <c r="C128" s="614"/>
      <c r="E128" s="614"/>
      <c r="F128" s="474"/>
      <c r="G128" s="615"/>
      <c r="H128" s="615"/>
    </row>
    <row r="129" spans="1:9" ht="69.95" customHeight="1" x14ac:dyDescent="0.3">
      <c r="A129" s="613" t="s">
        <v>30</v>
      </c>
      <c r="B129" s="616"/>
      <c r="C129" s="616"/>
      <c r="E129" s="616"/>
      <c r="F129" s="474"/>
      <c r="G129" s="617"/>
      <c r="H129" s="617"/>
    </row>
    <row r="130" spans="1:9" ht="18.75" x14ac:dyDescent="0.3">
      <c r="A130" s="566"/>
      <c r="B130" s="566"/>
      <c r="C130" s="567"/>
      <c r="D130" s="567"/>
      <c r="E130" s="567"/>
      <c r="F130" s="570"/>
      <c r="G130" s="567"/>
      <c r="H130" s="567"/>
      <c r="I130" s="474"/>
    </row>
    <row r="131" spans="1:9" ht="18.75" x14ac:dyDescent="0.3">
      <c r="A131" s="566"/>
      <c r="B131" s="566"/>
      <c r="C131" s="567"/>
      <c r="D131" s="567"/>
      <c r="E131" s="567"/>
      <c r="F131" s="570"/>
      <c r="G131" s="567"/>
      <c r="H131" s="567"/>
      <c r="I131" s="474"/>
    </row>
    <row r="132" spans="1:9" ht="18.75" x14ac:dyDescent="0.3">
      <c r="A132" s="566"/>
      <c r="B132" s="566"/>
      <c r="C132" s="567"/>
      <c r="D132" s="567"/>
      <c r="E132" s="567"/>
      <c r="F132" s="570"/>
      <c r="G132" s="567"/>
      <c r="H132" s="567"/>
      <c r="I132" s="474"/>
    </row>
    <row r="133" spans="1:9" ht="18.75" x14ac:dyDescent="0.3">
      <c r="A133" s="566"/>
      <c r="B133" s="566"/>
      <c r="C133" s="567"/>
      <c r="D133" s="567"/>
      <c r="E133" s="567"/>
      <c r="F133" s="570"/>
      <c r="G133" s="567"/>
      <c r="H133" s="567"/>
      <c r="I133" s="474"/>
    </row>
    <row r="134" spans="1:9" ht="18.75" x14ac:dyDescent="0.3">
      <c r="A134" s="566"/>
      <c r="B134" s="566"/>
      <c r="C134" s="567"/>
      <c r="D134" s="567"/>
      <c r="E134" s="567"/>
      <c r="F134" s="570"/>
      <c r="G134" s="567"/>
      <c r="H134" s="567"/>
      <c r="I134" s="474"/>
    </row>
    <row r="135" spans="1:9" ht="18.75" x14ac:dyDescent="0.3">
      <c r="A135" s="566"/>
      <c r="B135" s="566"/>
      <c r="C135" s="567"/>
      <c r="D135" s="567"/>
      <c r="E135" s="567"/>
      <c r="F135" s="570"/>
      <c r="G135" s="567"/>
      <c r="H135" s="567"/>
      <c r="I135" s="474"/>
    </row>
    <row r="136" spans="1:9" ht="18.75" x14ac:dyDescent="0.3">
      <c r="A136" s="566"/>
      <c r="B136" s="566"/>
      <c r="C136" s="567"/>
      <c r="D136" s="567"/>
      <c r="E136" s="567"/>
      <c r="F136" s="570"/>
      <c r="G136" s="567"/>
      <c r="H136" s="567"/>
      <c r="I136" s="474"/>
    </row>
    <row r="137" spans="1:9" ht="18.75" x14ac:dyDescent="0.3">
      <c r="A137" s="566"/>
      <c r="B137" s="566"/>
      <c r="C137" s="567"/>
      <c r="D137" s="567"/>
      <c r="E137" s="567"/>
      <c r="F137" s="570"/>
      <c r="G137" s="567"/>
      <c r="H137" s="567"/>
      <c r="I137" s="474"/>
    </row>
    <row r="138" spans="1:9" ht="18.75" x14ac:dyDescent="0.3">
      <c r="A138" s="566"/>
      <c r="B138" s="566"/>
      <c r="C138" s="567"/>
      <c r="D138" s="567"/>
      <c r="E138" s="567"/>
      <c r="F138" s="570"/>
      <c r="G138" s="567"/>
      <c r="H138" s="567"/>
      <c r="I138" s="474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Dolutegravir</vt:lpstr>
      <vt:lpstr>SST TDF</vt:lpstr>
      <vt:lpstr>SST Lamivudine</vt:lpstr>
      <vt:lpstr>Uniformity</vt:lpstr>
      <vt:lpstr>Lamivudine</vt:lpstr>
      <vt:lpstr>TDF</vt:lpstr>
      <vt:lpstr>Dolutegravir</vt:lpstr>
      <vt:lpstr>Dolutegravir!Print_Area</vt:lpstr>
      <vt:lpstr>Lamivudine!Print_Area</vt:lpstr>
      <vt:lpstr>'SST Dolutegravir'!Print_Area</vt:lpstr>
      <vt:lpstr>'SST Lamivudine'!Print_Area</vt:lpstr>
      <vt:lpstr>'SST TDF'!Print_Area</vt:lpstr>
      <vt:lpstr>TDF!Print_Area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2018-07-04T11:48:59Z</cp:lastPrinted>
  <dcterms:created xsi:type="dcterms:W3CDTF">2005-07-05T10:19:27Z</dcterms:created>
  <dcterms:modified xsi:type="dcterms:W3CDTF">2018-07-05T08:09:56Z</dcterms:modified>
</cp:coreProperties>
</file>