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Kennedy Rutto\2018\"/>
    </mc:Choice>
  </mc:AlternateContent>
  <bookViews>
    <workbookView xWindow="510" yWindow="555" windowWidth="15015" windowHeight="7620" activeTab="3"/>
  </bookViews>
  <sheets>
    <sheet name="SST" sheetId="1" r:id="rId1"/>
    <sheet name="Uniformity" sheetId="2" r:id="rId2"/>
    <sheet name="Efavirenz" sheetId="3" r:id="rId3"/>
    <sheet name="Efavirenz S2" sheetId="4" r:id="rId4"/>
  </sheets>
  <externalReferences>
    <externalReference r:id="rId5"/>
  </externalReferences>
  <definedNames>
    <definedName name="_xlnm.Print_Area" localSheetId="3">'Efavirenz S2'!$A$1:$H$172</definedName>
    <definedName name="_xlnm.Print_Area" localSheetId="0">SST!$A$15:$G$61</definedName>
    <definedName name="_xlnm.Print_Area" localSheetId="1">Uniformity!$A$12:$F$54</definedName>
  </definedNames>
  <calcPr calcId="162913"/>
</workbook>
</file>

<file path=xl/calcChain.xml><?xml version="1.0" encoding="utf-8"?>
<calcChain xmlns="http://schemas.openxmlformats.org/spreadsheetml/2006/main">
  <c r="C168" i="4" l="1"/>
  <c r="B159" i="4"/>
  <c r="D143" i="4"/>
  <c r="D144" i="4" s="1"/>
  <c r="D145" i="4" s="1"/>
  <c r="B141" i="4"/>
  <c r="F138" i="4"/>
  <c r="D138" i="4"/>
  <c r="G137" i="4"/>
  <c r="E137" i="4"/>
  <c r="B130" i="4"/>
  <c r="F140" i="4" s="1"/>
  <c r="B126" i="4"/>
  <c r="B116" i="4"/>
  <c r="D100" i="4"/>
  <c r="D101" i="4" s="1"/>
  <c r="B98" i="4"/>
  <c r="F95" i="4"/>
  <c r="D95" i="4"/>
  <c r="G94" i="4"/>
  <c r="E94" i="4"/>
  <c r="B87" i="4"/>
  <c r="F97" i="4" s="1"/>
  <c r="B82" i="4"/>
  <c r="B83" i="4" s="1"/>
  <c r="C76" i="4"/>
  <c r="H71" i="4"/>
  <c r="G71" i="4"/>
  <c r="H70" i="4"/>
  <c r="G70" i="4"/>
  <c r="H69" i="4"/>
  <c r="G69" i="4"/>
  <c r="H68" i="4"/>
  <c r="G68" i="4"/>
  <c r="B68" i="4"/>
  <c r="B69" i="4" s="1"/>
  <c r="H67" i="4"/>
  <c r="G67" i="4"/>
  <c r="H63" i="4"/>
  <c r="G63" i="4"/>
  <c r="B57" i="4"/>
  <c r="C56" i="4"/>
  <c r="B55" i="4"/>
  <c r="B45" i="4"/>
  <c r="D48" i="4" s="1"/>
  <c r="F42" i="4"/>
  <c r="D42" i="4"/>
  <c r="G41" i="4"/>
  <c r="E41" i="4"/>
  <c r="B34" i="4"/>
  <c r="F44" i="4" s="1"/>
  <c r="F45" i="4" s="1"/>
  <c r="B30" i="4"/>
  <c r="F46" i="4" l="1"/>
  <c r="D97" i="4"/>
  <c r="D98" i="4" s="1"/>
  <c r="D99" i="4" s="1"/>
  <c r="F141" i="4"/>
  <c r="F142" i="4" s="1"/>
  <c r="G40" i="4"/>
  <c r="D49" i="4"/>
  <c r="G39" i="4"/>
  <c r="E39" i="4"/>
  <c r="G38" i="4"/>
  <c r="E91" i="4"/>
  <c r="E92" i="4"/>
  <c r="D102" i="4"/>
  <c r="E93" i="4"/>
  <c r="F98" i="4"/>
  <c r="F99" i="4" s="1"/>
  <c r="G134" i="4"/>
  <c r="D44" i="4"/>
  <c r="D45" i="4" s="1"/>
  <c r="D46" i="4" s="1"/>
  <c r="D140" i="4"/>
  <c r="D141" i="4" s="1"/>
  <c r="E135" i="4" s="1"/>
  <c r="G135" i="4"/>
  <c r="B21" i="1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C49" i="2" s="1"/>
  <c r="C45" i="2"/>
  <c r="D41" i="2"/>
  <c r="D40" i="2"/>
  <c r="D37" i="2"/>
  <c r="D36" i="2"/>
  <c r="D33" i="2"/>
  <c r="D32" i="2"/>
  <c r="D29" i="2"/>
  <c r="D28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6" i="2" l="1"/>
  <c r="D30" i="2"/>
  <c r="D34" i="2"/>
  <c r="D38" i="2"/>
  <c r="D42" i="2"/>
  <c r="B49" i="2"/>
  <c r="E38" i="4"/>
  <c r="D52" i="4" s="1"/>
  <c r="E40" i="4"/>
  <c r="E42" i="4" s="1"/>
  <c r="D27" i="2"/>
  <c r="D31" i="2"/>
  <c r="D35" i="2"/>
  <c r="D39" i="2"/>
  <c r="D43" i="2"/>
  <c r="G136" i="4"/>
  <c r="G138" i="4" s="1"/>
  <c r="E95" i="4"/>
  <c r="D50" i="4"/>
  <c r="G92" i="4"/>
  <c r="G42" i="4"/>
  <c r="G91" i="4"/>
  <c r="D142" i="4"/>
  <c r="E136" i="4"/>
  <c r="E134" i="4"/>
  <c r="G93" i="4"/>
  <c r="D101" i="3"/>
  <c r="D102" i="3" s="1"/>
  <c r="I92" i="3"/>
  <c r="I39" i="3"/>
  <c r="D45" i="3"/>
  <c r="D46" i="3" s="1"/>
  <c r="D49" i="3"/>
  <c r="F98" i="3"/>
  <c r="F99" i="3" s="1"/>
  <c r="F44" i="3"/>
  <c r="F45" i="3" s="1"/>
  <c r="F46" i="3" s="1"/>
  <c r="D49" i="2"/>
  <c r="B57" i="3"/>
  <c r="B69" i="3" s="1"/>
  <c r="C50" i="2"/>
  <c r="D97" i="3"/>
  <c r="D98" i="3" s="1"/>
  <c r="D99" i="3" s="1"/>
  <c r="D50" i="2"/>
  <c r="G95" i="4" l="1"/>
  <c r="D105" i="4"/>
  <c r="D148" i="4"/>
  <c r="E138" i="4"/>
  <c r="D146" i="4"/>
  <c r="G65" i="4"/>
  <c r="H65" i="4" s="1"/>
  <c r="G61" i="4"/>
  <c r="H61" i="4" s="1"/>
  <c r="G62" i="4"/>
  <c r="H62" i="4" s="1"/>
  <c r="G64" i="4"/>
  <c r="H64" i="4" s="1"/>
  <c r="G60" i="4"/>
  <c r="H60" i="4" s="1"/>
  <c r="D51" i="4"/>
  <c r="G66" i="4"/>
  <c r="H66" i="4" s="1"/>
  <c r="D103" i="4"/>
  <c r="E41" i="3"/>
  <c r="E38" i="3"/>
  <c r="E92" i="3"/>
  <c r="E94" i="3"/>
  <c r="E91" i="3"/>
  <c r="E40" i="3"/>
  <c r="E93" i="3"/>
  <c r="E39" i="3"/>
  <c r="G94" i="3"/>
  <c r="G93" i="3"/>
  <c r="G40" i="3"/>
  <c r="G41" i="3"/>
  <c r="G92" i="3"/>
  <c r="G91" i="3"/>
  <c r="G39" i="3"/>
  <c r="G38" i="3"/>
  <c r="H72" i="4" l="1"/>
  <c r="H74" i="4"/>
  <c r="D104" i="4"/>
  <c r="E113" i="4"/>
  <c r="F113" i="4" s="1"/>
  <c r="E109" i="4"/>
  <c r="F109" i="4" s="1"/>
  <c r="E110" i="4"/>
  <c r="F110" i="4" s="1"/>
  <c r="E112" i="4"/>
  <c r="F112" i="4" s="1"/>
  <c r="E108" i="4"/>
  <c r="F108" i="4" s="1"/>
  <c r="E111" i="4"/>
  <c r="F111" i="4" s="1"/>
  <c r="E153" i="4"/>
  <c r="F153" i="4" s="1"/>
  <c r="E156" i="4"/>
  <c r="F156" i="4" s="1"/>
  <c r="E152" i="4"/>
  <c r="F152" i="4" s="1"/>
  <c r="E155" i="4"/>
  <c r="F155" i="4" s="1"/>
  <c r="D147" i="4"/>
  <c r="E151" i="4"/>
  <c r="F151" i="4" s="1"/>
  <c r="E154" i="4"/>
  <c r="F154" i="4" s="1"/>
  <c r="G95" i="3"/>
  <c r="E95" i="3"/>
  <c r="G42" i="3"/>
  <c r="D50" i="3"/>
  <c r="G66" i="3" s="1"/>
  <c r="H66" i="3" s="1"/>
  <c r="E42" i="3"/>
  <c r="D52" i="3"/>
  <c r="D103" i="3"/>
  <c r="E112" i="3" s="1"/>
  <c r="F112" i="3" s="1"/>
  <c r="D105" i="3"/>
  <c r="F117" i="4" l="1"/>
  <c r="B167" i="4"/>
  <c r="F115" i="4"/>
  <c r="F116" i="4" s="1"/>
  <c r="B165" i="4"/>
  <c r="F158" i="4"/>
  <c r="F159" i="4" s="1"/>
  <c r="F160" i="4"/>
  <c r="G76" i="4"/>
  <c r="H73" i="4"/>
  <c r="E113" i="3"/>
  <c r="F113" i="3" s="1"/>
  <c r="G60" i="3"/>
  <c r="H60" i="3" s="1"/>
  <c r="G65" i="3"/>
  <c r="H65" i="3" s="1"/>
  <c r="G69" i="3"/>
  <c r="H69" i="3" s="1"/>
  <c r="G67" i="3"/>
  <c r="H67" i="3" s="1"/>
  <c r="G62" i="3"/>
  <c r="H62" i="3" s="1"/>
  <c r="G71" i="3"/>
  <c r="H71" i="3" s="1"/>
  <c r="G61" i="3"/>
  <c r="H61" i="3" s="1"/>
  <c r="G70" i="3"/>
  <c r="H70" i="3" s="1"/>
  <c r="G64" i="3"/>
  <c r="H64" i="3" s="1"/>
  <c r="G68" i="3"/>
  <c r="H68" i="3" s="1"/>
  <c r="G63" i="3"/>
  <c r="H63" i="3" s="1"/>
  <c r="D51" i="3"/>
  <c r="D104" i="3"/>
  <c r="E108" i="3"/>
  <c r="E109" i="3"/>
  <c r="F109" i="3" s="1"/>
  <c r="E110" i="3"/>
  <c r="F110" i="3" s="1"/>
  <c r="E111" i="3"/>
  <c r="F111" i="3" s="1"/>
  <c r="G168" i="4" l="1"/>
  <c r="B166" i="4"/>
  <c r="E119" i="3"/>
  <c r="E120" i="3"/>
  <c r="G72" i="3"/>
  <c r="G73" i="3" s="1"/>
  <c r="G74" i="3"/>
  <c r="F108" i="3"/>
  <c r="F117" i="3" s="1"/>
  <c r="E115" i="3"/>
  <c r="E116" i="3" s="1"/>
  <c r="E117" i="3"/>
  <c r="H74" i="3"/>
  <c r="H72" i="3"/>
  <c r="F115" i="3" l="1"/>
  <c r="G124" i="3" s="1"/>
  <c r="F120" i="3"/>
  <c r="F125" i="3"/>
  <c r="D125" i="3"/>
  <c r="F119" i="3"/>
  <c r="G76" i="3"/>
  <c r="H73" i="3"/>
  <c r="F116" i="3" l="1"/>
</calcChain>
</file>

<file path=xl/sharedStrings.xml><?xml version="1.0" encoding="utf-8"?>
<sst xmlns="http://schemas.openxmlformats.org/spreadsheetml/2006/main" count="467" uniqueCount="161">
  <si>
    <t>HPLC System Suitability Report</t>
  </si>
  <si>
    <t>Analysis Data</t>
  </si>
  <si>
    <t>Assay</t>
  </si>
  <si>
    <t>Sample(s)</t>
  </si>
  <si>
    <t>Reference Substance:</t>
  </si>
  <si>
    <t xml:space="preserve">EFAVIRENZ TABLETS 200 mg </t>
  </si>
  <si>
    <t>% age Purity:</t>
  </si>
  <si>
    <t>NDQB201805444</t>
  </si>
  <si>
    <t>Weight (mg):</t>
  </si>
  <si>
    <t xml:space="preserve">EFAVIRENZ </t>
  </si>
  <si>
    <t>Standard Conc (mg/mL):</t>
  </si>
  <si>
    <t>Each film coated tablet contains: Efavirenz USP 200 mg.</t>
  </si>
  <si>
    <t>2018-06-04 12:27:48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</si>
  <si>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</si>
  <si>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</si>
  <si>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</si>
  <si>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</si>
  <si>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</si>
  <si>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</si>
  <si>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</si>
  <si>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</si>
  <si>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</si>
  <si>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</si>
  <si>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</si>
  <si>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</si>
  <si>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</si>
  <si>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</si>
  <si>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</si>
  <si>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</si>
  <si>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</si>
  <si>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</si>
  <si>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</si>
  <si>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</si>
  <si>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</si>
  <si>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</si>
  <si>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</si>
  <si>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</si>
  <si>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</si>
  <si>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</si>
  <si>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</si>
  <si>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</si>
  <si>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</si>
  <si>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</si>
  <si>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</si>
  <si>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</si>
  <si>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</si>
  <si>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</si>
  <si>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</si>
  <si>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</si>
  <si>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</si>
  <si>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</si>
  <si>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</si>
  <si>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</si>
  <si>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</si>
  <si>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</si>
  <si>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</si>
  <si>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</si>
  <si>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</si>
  <si>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</si>
  <si>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</si>
  <si>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</si>
  <si>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</si>
  <si>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</si>
  <si>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</si>
  <si>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</si>
  <si>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</si>
  <si>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</si>
  <si>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</si>
  <si>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</si>
  <si>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</si>
  <si>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</si>
  <si>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</si>
  <si>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</si>
  <si>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</si>
  <si>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</si>
  <si>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</si>
  <si>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</si>
  <si>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</si>
  <si>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</si>
  <si>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</si>
  <si>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</si>
  <si>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</si>
  <si>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</si>
  <si>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</si>
  <si>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</si>
  <si>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</si>
  <si>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</si>
  <si>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</si>
  <si>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</si>
  <si>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</si>
  <si>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</si>
  <si>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</si>
  <si>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</si>
  <si>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</si>
  <si>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</si>
  <si>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</si>
  <si>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</si>
  <si>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</si>
  <si>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</si>
  <si>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</si>
  <si>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</si>
  <si>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</si>
  <si>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</si>
  <si>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</si>
  <si>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</si>
  <si>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</si>
  <si>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</si>
  <si>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</si>
  <si>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</si>
  <si>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</si>
  <si>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</si>
  <si>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</si>
  <si>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</si>
  <si>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</si>
  <si>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</si>
  <si>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</si>
  <si>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</si>
  <si>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</si>
  <si>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</si>
  <si>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</si>
  <si>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</si>
  <si>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</si>
  <si>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</si>
  <si>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</si>
  <si>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</si>
  <si>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</si>
  <si>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</si>
  <si>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</si>
  <si>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</si>
  <si>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</si>
  <si>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</si>
  <si>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E15-6</t>
  </si>
  <si>
    <t>RUTTO KENNEDY</t>
  </si>
  <si>
    <t>If correction for water content is NOT needed please enter 0</t>
  </si>
  <si>
    <t>Initial Standard dilution (mL):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</si>
  <si>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</si>
  <si>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</si>
  <si>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</si>
  <si>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</si>
  <si>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</si>
  <si>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</si>
  <si>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</si>
  <si>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</si>
  <si>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Desired Concetration (mg/mL):</t>
  </si>
  <si>
    <t>Initial Sample dilution (mL):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</si>
  <si>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</si>
  <si>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</si>
  <si>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</si>
  <si>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</si>
  <si>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</si>
  <si>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</si>
  <si>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</si>
  <si>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</si>
  <si>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Desired Sample Weight (mg)</t>
  </si>
  <si>
    <t>Comment</t>
  </si>
  <si>
    <t>EFAVIRENZ</t>
  </si>
  <si>
    <t>tablet No.</t>
  </si>
  <si>
    <t>Analysis Data:</t>
  </si>
  <si>
    <t>Repeat Determination of Active Ingredient Dissolved</t>
  </si>
  <si>
    <t>Inj</t>
  </si>
  <si>
    <t>Dissolution Result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</si>
</sst>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43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</font>
    <font>
      <b/>
      <sz val="72"/>
      <color rgb="FF000000"/>
      <name val="Book Antiqua"/>
    </font>
    <font>
      <b/>
      <sz val="10"/>
      <color rgb="FF000000"/>
      <name val="Book Antiqua"/>
    </font>
    <font>
      <b/>
      <sz val="5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sz val="14"/>
      <color rgb="FF000000"/>
      <name val="Book Antiqua"/>
    </font>
    <font>
      <b/>
      <u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sz val="10"/>
      <color rgb="FF000000"/>
      <name val="Book Antiqua"/>
    </font>
    <font>
      <i/>
      <sz val="14"/>
      <color rgb="FF000000"/>
      <name val="Arial"/>
    </font>
    <font>
      <i/>
      <sz val="14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5" fillId="2" borderId="0"/>
  </cellStyleXfs>
  <cellXfs count="61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168" fontId="14" fillId="3" borderId="0" xfId="0" applyNumberFormat="1" applyFont="1" applyFill="1" applyAlignment="1" applyProtection="1">
      <alignment horizontal="center"/>
      <protection locked="0"/>
    </xf>
    <xf numFmtId="170" fontId="13" fillId="3" borderId="13" xfId="0" applyNumberFormat="1" applyFont="1" applyFill="1" applyBorder="1" applyAlignment="1" applyProtection="1">
      <alignment horizontal="center"/>
      <protection locked="0"/>
    </xf>
    <xf numFmtId="170" fontId="13" fillId="3" borderId="14" xfId="0" applyNumberFormat="1" applyFont="1" applyFill="1" applyBorder="1" applyAlignment="1" applyProtection="1">
      <alignment horizontal="center"/>
      <protection locked="0"/>
    </xf>
    <xf numFmtId="170" fontId="13" fillId="3" borderId="15" xfId="0" applyNumberFormat="1" applyFont="1" applyFill="1" applyBorder="1" applyAlignment="1" applyProtection="1">
      <alignment horizontal="center"/>
      <protection locked="0"/>
    </xf>
    <xf numFmtId="0" fontId="27" fillId="2" borderId="0" xfId="1" applyFont="1" applyFill="1"/>
    <xf numFmtId="2" fontId="29" fillId="3" borderId="3" xfId="1" applyNumberFormat="1" applyFont="1" applyFill="1" applyBorder="1" applyAlignment="1" applyProtection="1">
      <alignment horizontal="center"/>
      <protection locked="0"/>
    </xf>
    <xf numFmtId="0" fontId="25" fillId="2" borderId="0" xfId="1" applyFill="1"/>
    <xf numFmtId="0" fontId="32" fillId="2" borderId="0" xfId="1" applyFont="1" applyFill="1" applyAlignment="1">
      <alignment vertical="center"/>
    </xf>
    <xf numFmtId="0" fontId="32" fillId="3" borderId="0" xfId="1" applyFont="1" applyFill="1" applyAlignment="1" applyProtection="1">
      <alignment horizontal="left" vertical="center"/>
      <protection locked="0"/>
    </xf>
    <xf numFmtId="0" fontId="34" fillId="3" borderId="0" xfId="1" applyFont="1" applyFill="1" applyAlignment="1" applyProtection="1">
      <alignment horizontal="left"/>
      <protection locked="0"/>
    </xf>
    <xf numFmtId="0" fontId="35" fillId="2" borderId="0" xfId="1" applyFont="1" applyFill="1" applyAlignment="1">
      <alignment vertical="center"/>
    </xf>
    <xf numFmtId="0" fontId="34" fillId="3" borderId="0" xfId="1" applyFont="1" applyFill="1" applyAlignment="1" applyProtection="1">
      <alignment horizontal="left" vertical="center"/>
      <protection locked="0"/>
    </xf>
    <xf numFmtId="0" fontId="34" fillId="3" borderId="0" xfId="1" applyFont="1" applyFill="1" applyAlignment="1" applyProtection="1">
      <alignment vertical="center"/>
      <protection locked="0"/>
    </xf>
    <xf numFmtId="0" fontId="35" fillId="3" borderId="0" xfId="1" applyFont="1" applyFill="1" applyAlignment="1" applyProtection="1">
      <alignment vertical="center"/>
      <protection locked="0"/>
    </xf>
    <xf numFmtId="15" fontId="34" fillId="3" borderId="0" xfId="1" applyNumberFormat="1" applyFont="1" applyFill="1" applyAlignment="1" applyProtection="1">
      <alignment horizontal="left" vertical="center"/>
      <protection locked="0"/>
    </xf>
    <xf numFmtId="15" fontId="35" fillId="2" borderId="0" xfId="1" applyNumberFormat="1" applyFont="1" applyFill="1" applyAlignment="1">
      <alignment horizontal="left" vertical="center"/>
    </xf>
    <xf numFmtId="0" fontId="36" fillId="2" borderId="0" xfId="1" applyFont="1" applyFill="1" applyAlignment="1">
      <alignment horizontal="left" vertical="center"/>
    </xf>
    <xf numFmtId="0" fontId="32" fillId="2" borderId="0" xfId="1" applyFont="1" applyFill="1" applyAlignment="1">
      <alignment horizontal="right" vertical="center"/>
    </xf>
    <xf numFmtId="0" fontId="35" fillId="2" borderId="0" xfId="1" applyFont="1" applyFill="1" applyAlignment="1">
      <alignment horizontal="right" vertical="center"/>
    </xf>
    <xf numFmtId="0" fontId="33" fillId="3" borderId="0" xfId="1" applyFont="1" applyFill="1" applyAlignment="1" applyProtection="1">
      <alignment horizontal="center" vertical="center"/>
      <protection locked="0"/>
    </xf>
    <xf numFmtId="0" fontId="34" fillId="3" borderId="0" xfId="1" applyFont="1" applyFill="1" applyAlignment="1" applyProtection="1">
      <alignment horizontal="center" vertical="center"/>
      <protection locked="0"/>
    </xf>
    <xf numFmtId="0" fontId="37" fillId="2" borderId="0" xfId="1" applyFont="1" applyFill="1" applyAlignment="1">
      <alignment vertical="center"/>
    </xf>
    <xf numFmtId="0" fontId="38" fillId="2" borderId="0" xfId="1" applyFont="1" applyFill="1" applyAlignment="1">
      <alignment vertical="center" wrapText="1"/>
    </xf>
    <xf numFmtId="0" fontId="39" fillId="2" borderId="0" xfId="1" applyFont="1" applyFill="1"/>
    <xf numFmtId="0" fontId="32" fillId="2" borderId="0" xfId="1" applyFont="1" applyFill="1" applyAlignment="1">
      <alignment horizontal="center" vertical="center"/>
    </xf>
    <xf numFmtId="0" fontId="40" fillId="2" borderId="0" xfId="1" applyFont="1" applyFill="1" applyAlignment="1">
      <alignment vertical="center"/>
    </xf>
    <xf numFmtId="0" fontId="41" fillId="2" borderId="0" xfId="1" applyFont="1" applyFill="1" applyAlignment="1">
      <alignment vertical="center"/>
    </xf>
    <xf numFmtId="2" fontId="33" fillId="3" borderId="0" xfId="1" applyNumberFormat="1" applyFont="1" applyFill="1" applyAlignment="1" applyProtection="1">
      <alignment horizontal="center" vertical="center"/>
      <protection locked="0"/>
    </xf>
    <xf numFmtId="0" fontId="32" fillId="2" borderId="0" xfId="1" applyFont="1" applyFill="1" applyAlignment="1">
      <alignment vertical="center" wrapText="1"/>
    </xf>
    <xf numFmtId="0" fontId="37" fillId="2" borderId="0" xfId="1" applyFont="1" applyFill="1"/>
    <xf numFmtId="2" fontId="32" fillId="2" borderId="0" xfId="1" applyNumberFormat="1" applyFont="1" applyFill="1" applyAlignment="1">
      <alignment horizontal="center" vertical="center"/>
    </xf>
    <xf numFmtId="0" fontId="30" fillId="2" borderId="0" xfId="1" applyFont="1" applyFill="1" applyAlignment="1">
      <alignment horizontal="left" vertical="center" wrapText="1"/>
    </xf>
    <xf numFmtId="169" fontId="32" fillId="2" borderId="0" xfId="1" applyNumberFormat="1" applyFont="1" applyFill="1" applyAlignment="1">
      <alignment horizontal="center" vertical="center"/>
    </xf>
    <xf numFmtId="0" fontId="35" fillId="2" borderId="21" xfId="1" applyFont="1" applyFill="1" applyBorder="1" applyAlignment="1">
      <alignment horizontal="right" vertical="center"/>
    </xf>
    <xf numFmtId="0" fontId="33" fillId="3" borderId="22" xfId="1" applyFont="1" applyFill="1" applyBorder="1" applyAlignment="1" applyProtection="1">
      <alignment horizontal="center" vertical="center"/>
      <protection locked="0"/>
    </xf>
    <xf numFmtId="0" fontId="35" fillId="2" borderId="23" xfId="1" applyFont="1" applyFill="1" applyBorder="1" applyAlignment="1">
      <alignment horizontal="right" vertical="center"/>
    </xf>
    <xf numFmtId="0" fontId="33" fillId="3" borderId="24" xfId="1" applyFont="1" applyFill="1" applyBorder="1" applyAlignment="1" applyProtection="1">
      <alignment horizontal="center" vertical="center"/>
      <protection locked="0"/>
    </xf>
    <xf numFmtId="0" fontId="32" fillId="2" borderId="10" xfId="1" applyFont="1" applyFill="1" applyBorder="1" applyAlignment="1">
      <alignment horizontal="center" vertical="center"/>
    </xf>
    <xf numFmtId="0" fontId="32" fillId="2" borderId="53" xfId="1" applyFont="1" applyFill="1" applyBorder="1" applyAlignment="1">
      <alignment horizontal="center" vertical="center"/>
    </xf>
    <xf numFmtId="0" fontId="32" fillId="2" borderId="26" xfId="1" applyFont="1" applyFill="1" applyBorder="1" applyAlignment="1">
      <alignment horizontal="center" vertical="center"/>
    </xf>
    <xf numFmtId="0" fontId="32" fillId="2" borderId="30" xfId="1" applyFont="1" applyFill="1" applyBorder="1" applyAlignment="1">
      <alignment horizontal="center" vertical="center"/>
    </xf>
    <xf numFmtId="0" fontId="35" fillId="2" borderId="48" xfId="1" applyFont="1" applyFill="1" applyBorder="1" applyAlignment="1">
      <alignment horizontal="center" vertical="center"/>
    </xf>
    <xf numFmtId="0" fontId="33" fillId="3" borderId="53" xfId="1" applyFont="1" applyFill="1" applyBorder="1" applyAlignment="1" applyProtection="1">
      <alignment horizontal="center" vertical="center"/>
      <protection locked="0"/>
    </xf>
    <xf numFmtId="170" fontId="35" fillId="2" borderId="48" xfId="1" applyNumberFormat="1" applyFont="1" applyFill="1" applyBorder="1" applyAlignment="1">
      <alignment horizontal="center" vertical="center"/>
    </xf>
    <xf numFmtId="170" fontId="35" fillId="2" borderId="28" xfId="1" applyNumberFormat="1" applyFont="1" applyFill="1" applyBorder="1" applyAlignment="1">
      <alignment horizontal="center" vertical="center"/>
    </xf>
    <xf numFmtId="0" fontId="35" fillId="2" borderId="0" xfId="1" applyFont="1" applyFill="1" applyAlignment="1">
      <alignment horizontal="center" vertical="center"/>
    </xf>
    <xf numFmtId="0" fontId="33" fillId="3" borderId="49" xfId="1" applyFont="1" applyFill="1" applyBorder="1" applyAlignment="1" applyProtection="1">
      <alignment horizontal="center" vertical="center"/>
      <protection locked="0"/>
    </xf>
    <xf numFmtId="170" fontId="35" fillId="2" borderId="0" xfId="1" applyNumberFormat="1" applyFont="1" applyFill="1" applyAlignment="1">
      <alignment horizontal="center" vertical="center"/>
    </xf>
    <xf numFmtId="170" fontId="35" fillId="2" borderId="24" xfId="1" applyNumberFormat="1" applyFont="1" applyFill="1" applyBorder="1" applyAlignment="1">
      <alignment horizontal="center" vertical="center"/>
    </xf>
    <xf numFmtId="0" fontId="35" fillId="2" borderId="0" xfId="1" applyFont="1" applyFill="1"/>
    <xf numFmtId="0" fontId="35" fillId="2" borderId="7" xfId="1" applyFont="1" applyFill="1" applyBorder="1" applyAlignment="1">
      <alignment horizontal="center" vertical="center"/>
    </xf>
    <xf numFmtId="0" fontId="33" fillId="3" borderId="57" xfId="1" applyFont="1" applyFill="1" applyBorder="1" applyAlignment="1" applyProtection="1">
      <alignment horizontal="center" vertical="center"/>
      <protection locked="0"/>
    </xf>
    <xf numFmtId="170" fontId="35" fillId="2" borderId="7" xfId="1" applyNumberFormat="1" applyFont="1" applyFill="1" applyBorder="1" applyAlignment="1">
      <alignment horizontal="center" vertical="center"/>
    </xf>
    <xf numFmtId="170" fontId="35" fillId="2" borderId="33" xfId="1" applyNumberFormat="1" applyFont="1" applyFill="1" applyBorder="1" applyAlignment="1">
      <alignment horizontal="center" vertical="center"/>
    </xf>
    <xf numFmtId="170" fontId="32" fillId="6" borderId="49" xfId="1" applyNumberFormat="1" applyFont="1" applyFill="1" applyBorder="1" applyAlignment="1">
      <alignment horizontal="center" vertical="center"/>
    </xf>
    <xf numFmtId="170" fontId="32" fillId="6" borderId="38" xfId="1" applyNumberFormat="1" applyFont="1" applyFill="1" applyBorder="1" applyAlignment="1">
      <alignment horizontal="center" vertical="center"/>
    </xf>
    <xf numFmtId="1" fontId="32" fillId="6" borderId="50" xfId="1" applyNumberFormat="1" applyFont="1" applyFill="1" applyBorder="1" applyAlignment="1">
      <alignment horizontal="center" vertical="center"/>
    </xf>
    <xf numFmtId="170" fontId="32" fillId="6" borderId="39" xfId="1" applyNumberFormat="1" applyFont="1" applyFill="1" applyBorder="1" applyAlignment="1">
      <alignment horizontal="center" vertical="center"/>
    </xf>
    <xf numFmtId="0" fontId="39" fillId="2" borderId="0" xfId="1" applyFont="1" applyFill="1" applyAlignment="1">
      <alignment horizontal="center" vertical="center"/>
    </xf>
    <xf numFmtId="0" fontId="35" fillId="2" borderId="40" xfId="1" applyFont="1" applyFill="1" applyBorder="1" applyAlignment="1">
      <alignment horizontal="right"/>
    </xf>
    <xf numFmtId="0" fontId="33" fillId="3" borderId="52" xfId="1" applyFont="1" applyFill="1" applyBorder="1" applyAlignment="1" applyProtection="1">
      <alignment horizontal="center" vertical="center"/>
      <protection locked="0"/>
    </xf>
    <xf numFmtId="0" fontId="33" fillId="3" borderId="16" xfId="1" applyFont="1" applyFill="1" applyBorder="1" applyAlignment="1" applyProtection="1">
      <alignment horizontal="center" vertical="center"/>
      <protection locked="0"/>
    </xf>
    <xf numFmtId="0" fontId="35" fillId="2" borderId="11" xfId="1" applyFont="1" applyFill="1" applyBorder="1" applyAlignment="1">
      <alignment horizontal="right"/>
    </xf>
    <xf numFmtId="2" fontId="35" fillId="6" borderId="27" xfId="1" applyNumberFormat="1" applyFont="1" applyFill="1" applyBorder="1" applyAlignment="1">
      <alignment horizontal="center" vertical="center"/>
    </xf>
    <xf numFmtId="2" fontId="35" fillId="6" borderId="41" xfId="1" applyNumberFormat="1" applyFont="1" applyFill="1" applyBorder="1" applyAlignment="1">
      <alignment horizontal="center" vertical="center"/>
    </xf>
    <xf numFmtId="0" fontId="35" fillId="2" borderId="24" xfId="1" applyFont="1" applyFill="1" applyBorder="1" applyAlignment="1">
      <alignment horizontal="center" vertical="center"/>
    </xf>
    <xf numFmtId="2" fontId="35" fillId="7" borderId="27" xfId="1" applyNumberFormat="1" applyFont="1" applyFill="1" applyBorder="1" applyAlignment="1">
      <alignment horizontal="center" vertical="center"/>
    </xf>
    <xf numFmtId="2" fontId="35" fillId="2" borderId="0" xfId="1" applyNumberFormat="1" applyFont="1" applyFill="1" applyAlignment="1">
      <alignment horizontal="center" vertical="center"/>
    </xf>
    <xf numFmtId="2" fontId="35" fillId="7" borderId="41" xfId="1" applyNumberFormat="1" applyFont="1" applyFill="1" applyBorder="1" applyAlignment="1">
      <alignment horizontal="center" vertical="center"/>
    </xf>
    <xf numFmtId="2" fontId="35" fillId="6" borderId="17" xfId="1" applyNumberFormat="1" applyFont="1" applyFill="1" applyBorder="1" applyAlignment="1">
      <alignment horizontal="center" vertical="center"/>
    </xf>
    <xf numFmtId="0" fontId="35" fillId="2" borderId="58" xfId="1" applyFont="1" applyFill="1" applyBorder="1" applyAlignment="1">
      <alignment horizontal="right" vertical="center"/>
    </xf>
    <xf numFmtId="166" fontId="33" fillId="3" borderId="27" xfId="1" applyNumberFormat="1" applyFont="1" applyFill="1" applyBorder="1" applyAlignment="1" applyProtection="1">
      <alignment horizontal="center" vertical="center"/>
      <protection locked="0"/>
    </xf>
    <xf numFmtId="1" fontId="35" fillId="2" borderId="0" xfId="1" applyNumberFormat="1" applyFont="1" applyFill="1" applyAlignment="1">
      <alignment horizontal="center" vertical="center"/>
    </xf>
    <xf numFmtId="0" fontId="35" fillId="2" borderId="25" xfId="1" applyFont="1" applyFill="1" applyBorder="1" applyAlignment="1">
      <alignment horizontal="right" vertical="center"/>
    </xf>
    <xf numFmtId="0" fontId="35" fillId="2" borderId="53" xfId="1" applyFont="1" applyFill="1" applyBorder="1" applyAlignment="1">
      <alignment horizontal="right" vertical="center"/>
    </xf>
    <xf numFmtId="2" fontId="35" fillId="6" borderId="30" xfId="1" applyNumberFormat="1" applyFont="1" applyFill="1" applyBorder="1" applyAlignment="1">
      <alignment horizontal="center" vertical="center"/>
    </xf>
    <xf numFmtId="0" fontId="35" fillId="2" borderId="16" xfId="1" applyFont="1" applyFill="1" applyBorder="1" applyAlignment="1">
      <alignment horizontal="right" vertical="center"/>
    </xf>
    <xf numFmtId="170" fontId="32" fillId="7" borderId="16" xfId="1" applyNumberFormat="1" applyFont="1" applyFill="1" applyBorder="1" applyAlignment="1">
      <alignment horizontal="center" vertical="center"/>
    </xf>
    <xf numFmtId="0" fontId="35" fillId="2" borderId="41" xfId="1" applyFont="1" applyFill="1" applyBorder="1" applyAlignment="1">
      <alignment horizontal="right" vertical="center"/>
    </xf>
    <xf numFmtId="10" fontId="35" fillId="6" borderId="41" xfId="1" applyNumberFormat="1" applyFont="1" applyFill="1" applyBorder="1" applyAlignment="1">
      <alignment horizontal="center" vertical="center"/>
    </xf>
    <xf numFmtId="0" fontId="35" fillId="2" borderId="17" xfId="1" applyFont="1" applyFill="1" applyBorder="1" applyAlignment="1">
      <alignment horizontal="right" vertical="center"/>
    </xf>
    <xf numFmtId="0" fontId="35" fillId="7" borderId="17" xfId="1" applyFont="1" applyFill="1" applyBorder="1" applyAlignment="1">
      <alignment horizontal="center" vertical="center"/>
    </xf>
    <xf numFmtId="0" fontId="36" fillId="2" borderId="0" xfId="1" applyFont="1" applyFill="1" applyAlignment="1">
      <alignment vertical="center"/>
    </xf>
    <xf numFmtId="0" fontId="32" fillId="2" borderId="0" xfId="1" applyFont="1" applyFill="1" applyAlignment="1">
      <alignment horizontal="left" vertical="center"/>
    </xf>
    <xf numFmtId="0" fontId="35" fillId="2" borderId="0" xfId="1" applyFont="1" applyFill="1" applyAlignment="1">
      <alignment horizontal="left" vertical="center"/>
    </xf>
    <xf numFmtId="166" fontId="32" fillId="2" borderId="0" xfId="1" applyNumberFormat="1" applyFont="1" applyFill="1" applyAlignment="1" applyProtection="1">
      <alignment horizontal="center" vertical="center"/>
      <protection locked="0"/>
    </xf>
    <xf numFmtId="2" fontId="32" fillId="2" borderId="13" xfId="1" applyNumberFormat="1" applyFont="1" applyFill="1" applyBorder="1" applyAlignment="1">
      <alignment horizontal="center" vertical="center"/>
    </xf>
    <xf numFmtId="0" fontId="32" fillId="2" borderId="13" xfId="1" applyFont="1" applyFill="1" applyBorder="1" applyAlignment="1">
      <alignment horizontal="center" vertical="center"/>
    </xf>
    <xf numFmtId="0" fontId="32" fillId="2" borderId="22" xfId="1" applyFont="1" applyFill="1" applyBorder="1" applyAlignment="1">
      <alignment horizontal="center" vertical="center"/>
    </xf>
    <xf numFmtId="0" fontId="35" fillId="2" borderId="13" xfId="1" applyFont="1" applyFill="1" applyBorder="1" applyAlignment="1">
      <alignment horizontal="center" vertical="center"/>
    </xf>
    <xf numFmtId="0" fontId="33" fillId="3" borderId="21" xfId="1" applyFont="1" applyFill="1" applyBorder="1" applyAlignment="1" applyProtection="1">
      <alignment horizontal="center" vertical="center"/>
      <protection locked="0"/>
    </xf>
    <xf numFmtId="2" fontId="35" fillId="2" borderId="21" xfId="1" applyNumberFormat="1" applyFont="1" applyFill="1" applyBorder="1" applyAlignment="1">
      <alignment horizontal="center" vertical="center"/>
    </xf>
    <xf numFmtId="10" fontId="35" fillId="2" borderId="13" xfId="1" applyNumberFormat="1" applyFont="1" applyFill="1" applyBorder="1" applyAlignment="1">
      <alignment horizontal="center" vertical="center"/>
    </xf>
    <xf numFmtId="0" fontId="35" fillId="2" borderId="14" xfId="1" applyFont="1" applyFill="1" applyBorder="1" applyAlignment="1">
      <alignment horizontal="center" vertical="center"/>
    </xf>
    <xf numFmtId="0" fontId="33" fillId="3" borderId="23" xfId="1" applyFont="1" applyFill="1" applyBorder="1" applyAlignment="1" applyProtection="1">
      <alignment horizontal="center" vertical="center"/>
      <protection locked="0"/>
    </xf>
    <xf numFmtId="2" fontId="35" fillId="2" borderId="23" xfId="1" applyNumberFormat="1" applyFont="1" applyFill="1" applyBorder="1" applyAlignment="1">
      <alignment horizontal="center" vertical="center"/>
    </xf>
    <xf numFmtId="10" fontId="35" fillId="2" borderId="14" xfId="1" applyNumberFormat="1" applyFont="1" applyFill="1" applyBorder="1" applyAlignment="1">
      <alignment horizontal="center" vertical="center"/>
    </xf>
    <xf numFmtId="0" fontId="35" fillId="2" borderId="15" xfId="1" applyFont="1" applyFill="1" applyBorder="1" applyAlignment="1">
      <alignment horizontal="center" vertical="center"/>
    </xf>
    <xf numFmtId="0" fontId="33" fillId="3" borderId="43" xfId="1" applyFont="1" applyFill="1" applyBorder="1" applyAlignment="1" applyProtection="1">
      <alignment horizontal="center" vertical="center"/>
      <protection locked="0"/>
    </xf>
    <xf numFmtId="2" fontId="35" fillId="2" borderId="13" xfId="1" applyNumberFormat="1" applyFont="1" applyFill="1" applyBorder="1" applyAlignment="1">
      <alignment horizontal="center" vertical="center"/>
    </xf>
    <xf numFmtId="10" fontId="35" fillId="2" borderId="22" xfId="1" applyNumberFormat="1" applyFont="1" applyFill="1" applyBorder="1" applyAlignment="1">
      <alignment horizontal="center" vertical="center"/>
    </xf>
    <xf numFmtId="2" fontId="35" fillId="2" borderId="14" xfId="1" applyNumberFormat="1" applyFont="1" applyFill="1" applyBorder="1" applyAlignment="1">
      <alignment horizontal="center" vertical="center"/>
    </xf>
    <xf numFmtId="10" fontId="35" fillId="2" borderId="24" xfId="1" applyNumberFormat="1" applyFont="1" applyFill="1" applyBorder="1" applyAlignment="1">
      <alignment horizontal="center" vertical="center"/>
    </xf>
    <xf numFmtId="2" fontId="35" fillId="2" borderId="15" xfId="1" applyNumberFormat="1" applyFont="1" applyFill="1" applyBorder="1" applyAlignment="1">
      <alignment horizontal="center" vertical="center"/>
    </xf>
    <xf numFmtId="10" fontId="35" fillId="2" borderId="44" xfId="1" applyNumberFormat="1" applyFont="1" applyFill="1" applyBorder="1" applyAlignment="1">
      <alignment horizontal="center" vertical="center"/>
    </xf>
    <xf numFmtId="0" fontId="35" fillId="2" borderId="43" xfId="1" applyFont="1" applyFill="1" applyBorder="1" applyAlignment="1">
      <alignment horizontal="right" vertical="center"/>
    </xf>
    <xf numFmtId="2" fontId="32" fillId="2" borderId="44" xfId="1" applyNumberFormat="1" applyFont="1" applyFill="1" applyBorder="1" applyAlignment="1">
      <alignment horizontal="center" vertical="center"/>
    </xf>
    <xf numFmtId="10" fontId="35" fillId="2" borderId="15" xfId="1" applyNumberFormat="1" applyFont="1" applyFill="1" applyBorder="1" applyAlignment="1">
      <alignment horizontal="center" vertical="center"/>
    </xf>
    <xf numFmtId="0" fontId="35" fillId="2" borderId="45" xfId="1" applyFont="1" applyFill="1" applyBorder="1" applyAlignment="1">
      <alignment horizontal="right" vertical="center"/>
    </xf>
    <xf numFmtId="10" fontId="33" fillId="7" borderId="33" xfId="1" applyNumberFormat="1" applyFont="1" applyFill="1" applyBorder="1" applyAlignment="1">
      <alignment horizontal="center" vertical="center"/>
    </xf>
    <xf numFmtId="10" fontId="33" fillId="6" borderId="54" xfId="1" applyNumberFormat="1" applyFont="1" applyFill="1" applyBorder="1" applyAlignment="1">
      <alignment horizontal="center" vertical="center"/>
    </xf>
    <xf numFmtId="0" fontId="33" fillId="7" borderId="46" xfId="1" applyFont="1" applyFill="1" applyBorder="1" applyAlignment="1">
      <alignment horizontal="center" vertical="center"/>
    </xf>
    <xf numFmtId="165" fontId="33" fillId="2" borderId="0" xfId="1" applyNumberFormat="1" applyFont="1" applyFill="1" applyAlignment="1">
      <alignment horizontal="center" vertical="center"/>
    </xf>
    <xf numFmtId="0" fontId="32" fillId="2" borderId="47" xfId="1" applyFont="1" applyFill="1" applyBorder="1" applyAlignment="1">
      <alignment horizontal="center" vertical="center"/>
    </xf>
    <xf numFmtId="0" fontId="32" fillId="2" borderId="40" xfId="1" applyFont="1" applyFill="1" applyBorder="1" applyAlignment="1">
      <alignment horizontal="center" vertical="center"/>
    </xf>
    <xf numFmtId="0" fontId="32" fillId="2" borderId="25" xfId="1" applyFont="1" applyFill="1" applyBorder="1" applyAlignment="1">
      <alignment horizontal="center" vertical="center"/>
    </xf>
    <xf numFmtId="0" fontId="33" fillId="3" borderId="29" xfId="1" applyFont="1" applyFill="1" applyBorder="1" applyAlignment="1" applyProtection="1">
      <alignment horizontal="center" vertical="center"/>
      <protection locked="0"/>
    </xf>
    <xf numFmtId="170" fontId="35" fillId="2" borderId="26" xfId="1" applyNumberFormat="1" applyFont="1" applyFill="1" applyBorder="1" applyAlignment="1">
      <alignment horizontal="center" vertical="center"/>
    </xf>
    <xf numFmtId="170" fontId="33" fillId="3" borderId="29" xfId="1" applyNumberFormat="1" applyFont="1" applyFill="1" applyBorder="1" applyAlignment="1" applyProtection="1">
      <alignment horizontal="center" vertical="center"/>
      <protection locked="0"/>
    </xf>
    <xf numFmtId="170" fontId="35" fillId="2" borderId="30" xfId="1" applyNumberFormat="1" applyFont="1" applyFill="1" applyBorder="1" applyAlignment="1">
      <alignment horizontal="center" vertical="center"/>
    </xf>
    <xf numFmtId="170" fontId="35" fillId="2" borderId="31" xfId="1" applyNumberFormat="1" applyFont="1" applyFill="1" applyBorder="1" applyAlignment="1">
      <alignment horizontal="center" vertical="center"/>
    </xf>
    <xf numFmtId="170" fontId="33" fillId="3" borderId="23" xfId="1" applyNumberFormat="1" applyFont="1" applyFill="1" applyBorder="1" applyAlignment="1" applyProtection="1">
      <alignment horizontal="center" vertical="center"/>
      <protection locked="0"/>
    </xf>
    <xf numFmtId="170" fontId="35" fillId="2" borderId="32" xfId="1" applyNumberFormat="1" applyFont="1" applyFill="1" applyBorder="1" applyAlignment="1">
      <alignment horizontal="center" vertical="center"/>
    </xf>
    <xf numFmtId="0" fontId="33" fillId="3" borderId="34" xfId="1" applyFont="1" applyFill="1" applyBorder="1" applyAlignment="1" applyProtection="1">
      <alignment horizontal="center" vertical="center"/>
      <protection locked="0"/>
    </xf>
    <xf numFmtId="170" fontId="35" fillId="2" borderId="35" xfId="1" applyNumberFormat="1" applyFont="1" applyFill="1" applyBorder="1" applyAlignment="1">
      <alignment horizontal="center" vertical="center"/>
    </xf>
    <xf numFmtId="1" fontId="33" fillId="3" borderId="34" xfId="1" applyNumberFormat="1" applyFont="1" applyFill="1" applyBorder="1" applyAlignment="1" applyProtection="1">
      <alignment horizontal="center" vertical="center"/>
      <protection locked="0"/>
    </xf>
    <xf numFmtId="170" fontId="35" fillId="2" borderId="36" xfId="1" applyNumberFormat="1" applyFont="1" applyFill="1" applyBorder="1" applyAlignment="1">
      <alignment horizontal="center" vertical="center"/>
    </xf>
    <xf numFmtId="170" fontId="32" fillId="6" borderId="50" xfId="1" applyNumberFormat="1" applyFont="1" applyFill="1" applyBorder="1" applyAlignment="1">
      <alignment horizontal="center" vertical="center"/>
    </xf>
    <xf numFmtId="170" fontId="32" fillId="6" borderId="15" xfId="1" applyNumberFormat="1" applyFont="1" applyFill="1" applyBorder="1" applyAlignment="1">
      <alignment horizontal="center" vertical="center"/>
    </xf>
    <xf numFmtId="0" fontId="35" fillId="2" borderId="44" xfId="1" applyFont="1" applyFill="1" applyBorder="1" applyAlignment="1">
      <alignment horizontal="center" vertical="center"/>
    </xf>
    <xf numFmtId="164" fontId="35" fillId="6" borderId="27" xfId="1" applyNumberFormat="1" applyFont="1" applyFill="1" applyBorder="1" applyAlignment="1">
      <alignment horizontal="center" vertical="center"/>
    </xf>
    <xf numFmtId="164" fontId="35" fillId="2" borderId="0" xfId="1" applyNumberFormat="1" applyFont="1" applyFill="1" applyAlignment="1">
      <alignment horizontal="center" vertical="center"/>
    </xf>
    <xf numFmtId="164" fontId="35" fillId="6" borderId="17" xfId="1" applyNumberFormat="1" applyFont="1" applyFill="1" applyBorder="1" applyAlignment="1">
      <alignment horizontal="center" vertical="center"/>
    </xf>
    <xf numFmtId="0" fontId="39" fillId="2" borderId="0" xfId="1" applyFont="1" applyFill="1" applyAlignment="1">
      <alignment vertical="center"/>
    </xf>
    <xf numFmtId="166" fontId="35" fillId="7" borderId="27" xfId="1" applyNumberFormat="1" applyFont="1" applyFill="1" applyBorder="1" applyAlignment="1">
      <alignment horizontal="center" vertical="center"/>
    </xf>
    <xf numFmtId="2" fontId="39" fillId="2" borderId="0" xfId="1" applyNumberFormat="1" applyFont="1" applyFill="1" applyAlignment="1">
      <alignment horizontal="center" vertical="center"/>
    </xf>
    <xf numFmtId="2" fontId="35" fillId="7" borderId="30" xfId="1" applyNumberFormat="1" applyFont="1" applyFill="1" applyBorder="1" applyAlignment="1">
      <alignment horizontal="center" vertical="center"/>
    </xf>
    <xf numFmtId="0" fontId="32" fillId="2" borderId="0" xfId="1" applyFont="1" applyFill="1" applyAlignment="1">
      <alignment horizontal="center" wrapText="1"/>
    </xf>
    <xf numFmtId="10" fontId="35" fillId="2" borderId="0" xfId="1" applyNumberFormat="1" applyFont="1" applyFill="1" applyAlignment="1">
      <alignment horizontal="center"/>
    </xf>
    <xf numFmtId="10" fontId="32" fillId="6" borderId="41" xfId="1" applyNumberFormat="1" applyFont="1" applyFill="1" applyBorder="1" applyAlignment="1">
      <alignment horizontal="center" vertical="center"/>
    </xf>
    <xf numFmtId="0" fontId="32" fillId="7" borderId="17" xfId="1" applyFont="1" applyFill="1" applyBorder="1" applyAlignment="1">
      <alignment horizontal="center" vertical="center"/>
    </xf>
    <xf numFmtId="0" fontId="32" fillId="2" borderId="59" xfId="1" applyFont="1" applyFill="1" applyBorder="1" applyAlignment="1">
      <alignment horizontal="center" vertical="center"/>
    </xf>
    <xf numFmtId="0" fontId="32" fillId="2" borderId="60" xfId="1" applyFont="1" applyFill="1" applyBorder="1" applyAlignment="1">
      <alignment vertical="center"/>
    </xf>
    <xf numFmtId="0" fontId="32" fillId="2" borderId="22" xfId="1" applyFont="1" applyFill="1" applyBorder="1" applyAlignment="1">
      <alignment horizontal="center" vertical="center" wrapText="1"/>
    </xf>
    <xf numFmtId="0" fontId="35" fillId="2" borderId="23" xfId="1" applyFont="1" applyFill="1" applyBorder="1" applyAlignment="1">
      <alignment horizontal="center" vertical="center"/>
    </xf>
    <xf numFmtId="170" fontId="33" fillId="3" borderId="31" xfId="1" applyNumberFormat="1" applyFont="1" applyFill="1" applyBorder="1" applyAlignment="1" applyProtection="1">
      <alignment horizontal="center" vertical="center"/>
      <protection locked="0"/>
    </xf>
    <xf numFmtId="2" fontId="35" fillId="2" borderId="26" xfId="1" applyNumberFormat="1" applyFont="1" applyFill="1" applyBorder="1" applyAlignment="1">
      <alignment horizontal="center" vertical="center"/>
    </xf>
    <xf numFmtId="10" fontId="35" fillId="2" borderId="30" xfId="1" applyNumberFormat="1" applyFont="1" applyFill="1" applyBorder="1" applyAlignment="1">
      <alignment horizontal="center" vertical="center"/>
    </xf>
    <xf numFmtId="2" fontId="35" fillId="2" borderId="31" xfId="1" applyNumberFormat="1" applyFont="1" applyFill="1" applyBorder="1" applyAlignment="1">
      <alignment horizontal="center" vertical="center"/>
    </xf>
    <xf numFmtId="10" fontId="35" fillId="2" borderId="32" xfId="1" applyNumberFormat="1" applyFont="1" applyFill="1" applyBorder="1" applyAlignment="1">
      <alignment horizontal="center" vertical="center"/>
    </xf>
    <xf numFmtId="0" fontId="35" fillId="2" borderId="34" xfId="1" applyFont="1" applyFill="1" applyBorder="1" applyAlignment="1">
      <alignment horizontal="center" vertical="center"/>
    </xf>
    <xf numFmtId="170" fontId="33" fillId="3" borderId="35" xfId="1" applyNumberFormat="1" applyFont="1" applyFill="1" applyBorder="1" applyAlignment="1" applyProtection="1">
      <alignment horizontal="center" vertical="center"/>
      <protection locked="0"/>
    </xf>
    <xf numFmtId="2" fontId="35" fillId="2" borderId="35" xfId="1" applyNumberFormat="1" applyFont="1" applyFill="1" applyBorder="1" applyAlignment="1">
      <alignment horizontal="center" vertical="center"/>
    </xf>
    <xf numFmtId="10" fontId="35" fillId="2" borderId="36" xfId="1" applyNumberFormat="1" applyFont="1" applyFill="1" applyBorder="1" applyAlignment="1">
      <alignment horizontal="center" vertical="center"/>
    </xf>
    <xf numFmtId="2" fontId="35" fillId="2" borderId="24" xfId="1" applyNumberFormat="1" applyFont="1" applyFill="1" applyBorder="1" applyAlignment="1">
      <alignment horizontal="center" vertical="center"/>
    </xf>
    <xf numFmtId="170" fontId="32" fillId="2" borderId="0" xfId="1" applyNumberFormat="1" applyFont="1" applyFill="1" applyAlignment="1">
      <alignment horizontal="center" vertical="center"/>
    </xf>
    <xf numFmtId="170" fontId="35" fillId="2" borderId="2" xfId="1" applyNumberFormat="1" applyFont="1" applyFill="1" applyBorder="1" applyAlignment="1">
      <alignment horizontal="right" vertical="center"/>
    </xf>
    <xf numFmtId="10" fontId="33" fillId="7" borderId="27" xfId="1" applyNumberFormat="1" applyFont="1" applyFill="1" applyBorder="1" applyAlignment="1">
      <alignment horizontal="center" vertical="center"/>
    </xf>
    <xf numFmtId="0" fontId="35" fillId="2" borderId="23" xfId="1" applyFont="1" applyFill="1" applyBorder="1" applyAlignment="1">
      <alignment vertical="center"/>
    </xf>
    <xf numFmtId="0" fontId="35" fillId="2" borderId="6" xfId="1" applyFont="1" applyFill="1" applyBorder="1" applyAlignment="1">
      <alignment vertical="center"/>
    </xf>
    <xf numFmtId="10" fontId="33" fillId="6" borderId="27" xfId="1" applyNumberFormat="1" applyFont="1" applyFill="1" applyBorder="1" applyAlignment="1">
      <alignment horizontal="center" vertical="center"/>
    </xf>
    <xf numFmtId="0" fontId="35" fillId="2" borderId="43" xfId="1" applyFont="1" applyFill="1" applyBorder="1" applyAlignment="1">
      <alignment vertical="center"/>
    </xf>
    <xf numFmtId="0" fontId="35" fillId="2" borderId="61" xfId="1" applyFont="1" applyFill="1" applyBorder="1" applyAlignment="1">
      <alignment horizontal="center" vertical="center"/>
    </xf>
    <xf numFmtId="0" fontId="35" fillId="2" borderId="62" xfId="1" applyFont="1" applyFill="1" applyBorder="1" applyAlignment="1">
      <alignment horizontal="right" vertical="center"/>
    </xf>
    <xf numFmtId="0" fontId="33" fillId="7" borderId="17" xfId="1" applyFont="1" applyFill="1" applyBorder="1" applyAlignment="1">
      <alignment horizontal="center" vertical="center"/>
    </xf>
    <xf numFmtId="0" fontId="36" fillId="2" borderId="0" xfId="1" applyFont="1" applyFill="1" applyAlignment="1">
      <alignment horizontal="left"/>
    </xf>
    <xf numFmtId="0" fontId="32" fillId="2" borderId="0" xfId="1" applyFont="1" applyFill="1" applyAlignment="1">
      <alignment horizontal="right"/>
    </xf>
    <xf numFmtId="0" fontId="32" fillId="3" borderId="0" xfId="1" applyFont="1" applyFill="1" applyAlignment="1" applyProtection="1">
      <alignment horizontal="center"/>
      <protection locked="0"/>
    </xf>
    <xf numFmtId="0" fontId="35" fillId="2" borderId="0" xfId="1" applyFont="1" applyFill="1" applyAlignment="1">
      <alignment horizontal="right"/>
    </xf>
    <xf numFmtId="0" fontId="32" fillId="2" borderId="0" xfId="1" applyFont="1" applyFill="1" applyAlignment="1">
      <alignment horizontal="center"/>
    </xf>
    <xf numFmtId="0" fontId="40" fillId="2" borderId="0" xfId="1" applyFont="1" applyFill="1"/>
    <xf numFmtId="0" fontId="41" fillId="2" borderId="0" xfId="1" applyFont="1" applyFill="1"/>
    <xf numFmtId="0" fontId="35" fillId="2" borderId="21" xfId="1" applyFont="1" applyFill="1" applyBorder="1" applyAlignment="1">
      <alignment horizontal="right"/>
    </xf>
    <xf numFmtId="0" fontId="33" fillId="3" borderId="63" xfId="1" applyFont="1" applyFill="1" applyBorder="1" applyAlignment="1" applyProtection="1">
      <alignment horizontal="center" vertical="center"/>
      <protection locked="0"/>
    </xf>
    <xf numFmtId="0" fontId="35" fillId="2" borderId="23" xfId="1" applyFont="1" applyFill="1" applyBorder="1" applyAlignment="1">
      <alignment horizontal="right"/>
    </xf>
    <xf numFmtId="0" fontId="33" fillId="3" borderId="32" xfId="1" applyFont="1" applyFill="1" applyBorder="1" applyAlignment="1" applyProtection="1">
      <alignment horizontal="center" vertical="center"/>
      <protection locked="0"/>
    </xf>
    <xf numFmtId="0" fontId="32" fillId="2" borderId="10" xfId="1" applyFont="1" applyFill="1" applyBorder="1" applyAlignment="1">
      <alignment horizontal="center"/>
    </xf>
    <xf numFmtId="0" fontId="32" fillId="2" borderId="53" xfId="1" applyFont="1" applyFill="1" applyBorder="1" applyAlignment="1">
      <alignment horizontal="center"/>
    </xf>
    <xf numFmtId="0" fontId="32" fillId="2" borderId="30" xfId="1" applyFont="1" applyFill="1" applyBorder="1" applyAlignment="1">
      <alignment horizontal="center"/>
    </xf>
    <xf numFmtId="0" fontId="35" fillId="2" borderId="48" xfId="1" applyFont="1" applyFill="1" applyBorder="1" applyAlignment="1">
      <alignment horizontal="center"/>
    </xf>
    <xf numFmtId="170" fontId="35" fillId="2" borderId="30" xfId="1" applyNumberFormat="1" applyFont="1" applyFill="1" applyBorder="1" applyAlignment="1">
      <alignment horizontal="center"/>
    </xf>
    <xf numFmtId="0" fontId="35" fillId="2" borderId="0" xfId="1" applyFont="1" applyFill="1" applyAlignment="1">
      <alignment horizontal="center"/>
    </xf>
    <xf numFmtId="170" fontId="35" fillId="2" borderId="32" xfId="1" applyNumberFormat="1" applyFont="1" applyFill="1" applyBorder="1" applyAlignment="1">
      <alignment horizontal="center"/>
    </xf>
    <xf numFmtId="0" fontId="35" fillId="2" borderId="7" xfId="1" applyFont="1" applyFill="1" applyBorder="1" applyAlignment="1">
      <alignment horizontal="center"/>
    </xf>
    <xf numFmtId="170" fontId="35" fillId="2" borderId="36" xfId="1" applyNumberFormat="1" applyFont="1" applyFill="1" applyBorder="1" applyAlignment="1">
      <alignment horizontal="center"/>
    </xf>
    <xf numFmtId="1" fontId="32" fillId="6" borderId="50" xfId="1" applyNumberFormat="1" applyFont="1" applyFill="1" applyBorder="1" applyAlignment="1">
      <alignment horizontal="center"/>
    </xf>
    <xf numFmtId="170" fontId="32" fillId="6" borderId="39" xfId="1" applyNumberFormat="1" applyFont="1" applyFill="1" applyBorder="1" applyAlignment="1">
      <alignment horizontal="center"/>
    </xf>
    <xf numFmtId="1" fontId="32" fillId="6" borderId="44" xfId="1" applyNumberFormat="1" applyFont="1" applyFill="1" applyBorder="1" applyAlignment="1">
      <alignment horizontal="center"/>
    </xf>
    <xf numFmtId="0" fontId="35" fillId="2" borderId="51" xfId="1" applyFont="1" applyFill="1" applyBorder="1" applyAlignment="1">
      <alignment horizontal="right"/>
    </xf>
    <xf numFmtId="0" fontId="33" fillId="3" borderId="13" xfId="1" applyFont="1" applyFill="1" applyBorder="1" applyAlignment="1" applyProtection="1">
      <alignment horizontal="center" vertical="center"/>
      <protection locked="0"/>
    </xf>
    <xf numFmtId="0" fontId="35" fillId="2" borderId="25" xfId="1" applyFont="1" applyFill="1" applyBorder="1" applyAlignment="1">
      <alignment horizontal="right"/>
    </xf>
    <xf numFmtId="2" fontId="35" fillId="6" borderId="27" xfId="1" applyNumberFormat="1" applyFont="1" applyFill="1" applyBorder="1" applyAlignment="1">
      <alignment horizontal="center"/>
    </xf>
    <xf numFmtId="2" fontId="35" fillId="6" borderId="41" xfId="1" applyNumberFormat="1" applyFont="1" applyFill="1" applyBorder="1" applyAlignment="1">
      <alignment horizontal="center"/>
    </xf>
    <xf numFmtId="170" fontId="35" fillId="2" borderId="39" xfId="1" applyNumberFormat="1" applyFont="1" applyFill="1" applyBorder="1" applyAlignment="1">
      <alignment horizontal="center"/>
    </xf>
    <xf numFmtId="2" fontId="35" fillId="7" borderId="27" xfId="1" applyNumberFormat="1" applyFont="1" applyFill="1" applyBorder="1" applyAlignment="1">
      <alignment horizontal="center"/>
    </xf>
    <xf numFmtId="2" fontId="35" fillId="2" borderId="0" xfId="1" applyNumberFormat="1" applyFont="1" applyFill="1" applyAlignment="1">
      <alignment horizontal="center"/>
    </xf>
    <xf numFmtId="2" fontId="35" fillId="7" borderId="41" xfId="1" applyNumberFormat="1" applyFont="1" applyFill="1" applyBorder="1" applyAlignment="1">
      <alignment horizontal="center"/>
    </xf>
    <xf numFmtId="2" fontId="35" fillId="6" borderId="17" xfId="1" applyNumberFormat="1" applyFont="1" applyFill="1" applyBorder="1" applyAlignment="1">
      <alignment horizontal="center"/>
    </xf>
    <xf numFmtId="0" fontId="39" fillId="2" borderId="0" xfId="1" applyFont="1" applyFill="1" applyAlignment="1">
      <alignment horizontal="center"/>
    </xf>
    <xf numFmtId="1" fontId="35" fillId="2" borderId="0" xfId="1" applyNumberFormat="1" applyFont="1" applyFill="1" applyAlignment="1">
      <alignment horizontal="center"/>
    </xf>
    <xf numFmtId="2" fontId="39" fillId="2" borderId="0" xfId="1" applyNumberFormat="1" applyFont="1" applyFill="1" applyAlignment="1">
      <alignment horizontal="center"/>
    </xf>
    <xf numFmtId="0" fontId="35" fillId="2" borderId="37" xfId="1" applyFont="1" applyFill="1" applyBorder="1" applyAlignment="1">
      <alignment horizontal="right"/>
    </xf>
    <xf numFmtId="2" fontId="35" fillId="7" borderId="64" xfId="1" applyNumberFormat="1" applyFont="1" applyFill="1" applyBorder="1" applyAlignment="1">
      <alignment horizontal="center"/>
    </xf>
    <xf numFmtId="170" fontId="35" fillId="2" borderId="0" xfId="1" applyNumberFormat="1" applyFont="1" applyFill="1" applyAlignment="1">
      <alignment horizontal="center"/>
    </xf>
    <xf numFmtId="0" fontId="35" fillId="2" borderId="45" xfId="1" applyFont="1" applyFill="1" applyBorder="1" applyAlignment="1">
      <alignment horizontal="right"/>
    </xf>
    <xf numFmtId="170" fontId="32" fillId="7" borderId="45" xfId="1" applyNumberFormat="1" applyFont="1" applyFill="1" applyBorder="1" applyAlignment="1">
      <alignment horizontal="center"/>
    </xf>
    <xf numFmtId="0" fontId="35" fillId="2" borderId="41" xfId="1" applyFont="1" applyFill="1" applyBorder="1" applyAlignment="1">
      <alignment horizontal="right"/>
    </xf>
    <xf numFmtId="10" fontId="32" fillId="6" borderId="41" xfId="1" applyNumberFormat="1" applyFont="1" applyFill="1" applyBorder="1" applyAlignment="1">
      <alignment horizontal="center"/>
    </xf>
    <xf numFmtId="0" fontId="35" fillId="2" borderId="17" xfId="1" applyFont="1" applyFill="1" applyBorder="1" applyAlignment="1">
      <alignment horizontal="right"/>
    </xf>
    <xf numFmtId="0" fontId="32" fillId="7" borderId="17" xfId="1" applyFont="1" applyFill="1" applyBorder="1" applyAlignment="1">
      <alignment horizontal="center"/>
    </xf>
    <xf numFmtId="0" fontId="36" fillId="2" borderId="0" xfId="1" applyFont="1" applyFill="1"/>
    <xf numFmtId="0" fontId="32" fillId="2" borderId="47" xfId="1" applyFont="1" applyFill="1" applyBorder="1" applyAlignment="1">
      <alignment horizontal="center"/>
    </xf>
    <xf numFmtId="0" fontId="32" fillId="2" borderId="60" xfId="1" applyFont="1" applyFill="1" applyBorder="1" applyAlignment="1">
      <alignment horizontal="center"/>
    </xf>
    <xf numFmtId="0" fontId="32" fillId="2" borderId="60" xfId="1" applyFont="1" applyFill="1" applyBorder="1"/>
    <xf numFmtId="0" fontId="32" fillId="2" borderId="22" xfId="1" applyFont="1" applyFill="1" applyBorder="1" applyAlignment="1">
      <alignment horizontal="center" wrapText="1"/>
    </xf>
    <xf numFmtId="0" fontId="35" fillId="2" borderId="23" xfId="1" applyFont="1" applyFill="1" applyBorder="1" applyAlignment="1">
      <alignment horizontal="center"/>
    </xf>
    <xf numFmtId="0" fontId="33" fillId="3" borderId="26" xfId="1" applyFont="1" applyFill="1" applyBorder="1" applyAlignment="1" applyProtection="1">
      <alignment horizontal="center" vertical="center"/>
      <protection locked="0"/>
    </xf>
    <xf numFmtId="2" fontId="35" fillId="2" borderId="4" xfId="1" applyNumberFormat="1" applyFont="1" applyFill="1" applyBorder="1" applyAlignment="1">
      <alignment horizontal="center"/>
    </xf>
    <xf numFmtId="10" fontId="35" fillId="2" borderId="28" xfId="1" applyNumberFormat="1" applyFont="1" applyFill="1" applyBorder="1" applyAlignment="1">
      <alignment horizontal="center"/>
    </xf>
    <xf numFmtId="0" fontId="33" fillId="3" borderId="31" xfId="1" applyFont="1" applyFill="1" applyBorder="1" applyAlignment="1" applyProtection="1">
      <alignment horizontal="center" vertical="center"/>
      <protection locked="0"/>
    </xf>
    <xf numFmtId="2" fontId="35" fillId="2" borderId="3" xfId="1" applyNumberFormat="1" applyFont="1" applyFill="1" applyBorder="1" applyAlignment="1">
      <alignment horizontal="center"/>
    </xf>
    <xf numFmtId="10" fontId="35" fillId="2" borderId="24" xfId="1" applyNumberFormat="1" applyFont="1" applyFill="1" applyBorder="1" applyAlignment="1">
      <alignment horizontal="center"/>
    </xf>
    <xf numFmtId="0" fontId="35" fillId="2" borderId="34" xfId="1" applyFont="1" applyFill="1" applyBorder="1" applyAlignment="1">
      <alignment horizontal="center"/>
    </xf>
    <xf numFmtId="0" fontId="33" fillId="3" borderId="35" xfId="1" applyFont="1" applyFill="1" applyBorder="1" applyAlignment="1" applyProtection="1">
      <alignment horizontal="center" vertical="center"/>
      <protection locked="0"/>
    </xf>
    <xf numFmtId="2" fontId="35" fillId="2" borderId="5" xfId="1" applyNumberFormat="1" applyFont="1" applyFill="1" applyBorder="1" applyAlignment="1">
      <alignment horizontal="center"/>
    </xf>
    <xf numFmtId="10" fontId="35" fillId="2" borderId="33" xfId="1" applyNumberFormat="1" applyFont="1" applyFill="1" applyBorder="1" applyAlignment="1">
      <alignment horizontal="center"/>
    </xf>
    <xf numFmtId="2" fontId="35" fillId="2" borderId="24" xfId="1" applyNumberFormat="1" applyFont="1" applyFill="1" applyBorder="1" applyAlignment="1">
      <alignment horizontal="center"/>
    </xf>
    <xf numFmtId="170" fontId="32" fillId="2" borderId="0" xfId="1" applyNumberFormat="1" applyFont="1" applyFill="1" applyAlignment="1">
      <alignment horizontal="center"/>
    </xf>
    <xf numFmtId="170" fontId="35" fillId="2" borderId="1" xfId="1" applyNumberFormat="1" applyFont="1" applyFill="1" applyBorder="1" applyAlignment="1">
      <alignment horizontal="right"/>
    </xf>
    <xf numFmtId="10" fontId="33" fillId="7" borderId="54" xfId="1" applyNumberFormat="1" applyFont="1" applyFill="1" applyBorder="1" applyAlignment="1">
      <alignment horizontal="center"/>
    </xf>
    <xf numFmtId="0" fontId="35" fillId="2" borderId="23" xfId="1" applyFont="1" applyFill="1" applyBorder="1"/>
    <xf numFmtId="0" fontId="35" fillId="2" borderId="1" xfId="1" applyFont="1" applyFill="1" applyBorder="1" applyAlignment="1">
      <alignment horizontal="right"/>
    </xf>
    <xf numFmtId="10" fontId="33" fillId="6" borderId="54" xfId="1" applyNumberFormat="1" applyFont="1" applyFill="1" applyBorder="1" applyAlignment="1">
      <alignment horizontal="center"/>
    </xf>
    <xf numFmtId="0" fontId="35" fillId="2" borderId="43" xfId="1" applyFont="1" applyFill="1" applyBorder="1"/>
    <xf numFmtId="0" fontId="35" fillId="2" borderId="9" xfId="1" applyFont="1" applyFill="1" applyBorder="1" applyAlignment="1">
      <alignment horizontal="center"/>
    </xf>
    <xf numFmtId="0" fontId="35" fillId="2" borderId="65" xfId="1" applyFont="1" applyFill="1" applyBorder="1" applyAlignment="1">
      <alignment horizontal="right"/>
    </xf>
    <xf numFmtId="0" fontId="33" fillId="7" borderId="46" xfId="1" applyFont="1" applyFill="1" applyBorder="1" applyAlignment="1">
      <alignment horizontal="center"/>
    </xf>
    <xf numFmtId="170" fontId="35" fillId="2" borderId="47" xfId="1" applyNumberFormat="1" applyFont="1" applyFill="1" applyBorder="1" applyAlignment="1">
      <alignment horizontal="right"/>
    </xf>
    <xf numFmtId="165" fontId="33" fillId="7" borderId="52" xfId="1" applyNumberFormat="1" applyFont="1" applyFill="1" applyBorder="1" applyAlignment="1">
      <alignment horizontal="center"/>
    </xf>
    <xf numFmtId="165" fontId="33" fillId="6" borderId="27" xfId="1" applyNumberFormat="1" applyFont="1" applyFill="1" applyBorder="1" applyAlignment="1">
      <alignment horizontal="center"/>
    </xf>
    <xf numFmtId="0" fontId="35" fillId="2" borderId="66" xfId="1" applyFont="1" applyFill="1" applyBorder="1" applyAlignment="1">
      <alignment horizontal="right"/>
    </xf>
    <xf numFmtId="0" fontId="33" fillId="7" borderId="64" xfId="1" applyFont="1" applyFill="1" applyBorder="1" applyAlignment="1">
      <alignment horizontal="center"/>
    </xf>
    <xf numFmtId="0" fontId="30" fillId="2" borderId="9" xfId="1" applyFont="1" applyFill="1" applyBorder="1" applyAlignment="1">
      <alignment horizontal="left" vertical="center" wrapText="1"/>
    </xf>
    <xf numFmtId="0" fontId="35" fillId="2" borderId="9" xfId="1" applyFont="1" applyFill="1" applyBorder="1" applyAlignment="1">
      <alignment vertical="center"/>
    </xf>
    <xf numFmtId="0" fontId="35" fillId="2" borderId="10" xfId="1" applyFont="1" applyFill="1" applyBorder="1" applyAlignment="1">
      <alignment horizontal="center" vertical="center"/>
    </xf>
    <xf numFmtId="0" fontId="35" fillId="2" borderId="7" xfId="1" applyFont="1" applyFill="1" applyBorder="1" applyAlignment="1" applyProtection="1">
      <alignment vertical="center"/>
      <protection locked="0"/>
    </xf>
    <xf numFmtId="0" fontId="35" fillId="2" borderId="7" xfId="1" applyFont="1" applyFill="1" applyBorder="1" applyAlignment="1">
      <alignment vertical="center"/>
    </xf>
    <xf numFmtId="0" fontId="32" fillId="2" borderId="11" xfId="1" applyFont="1" applyFill="1" applyBorder="1" applyAlignment="1" applyProtection="1">
      <alignment vertical="center"/>
      <protection locked="0"/>
    </xf>
    <xf numFmtId="0" fontId="32" fillId="2" borderId="11" xfId="1" applyFont="1" applyFill="1" applyBorder="1" applyAlignment="1">
      <alignment vertical="center"/>
    </xf>
    <xf numFmtId="0" fontId="35" fillId="2" borderId="11" xfId="1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33" fillId="3" borderId="0" xfId="1" applyFont="1" applyFill="1" applyAlignment="1" applyProtection="1">
      <alignment horizontal="left" vertical="center"/>
      <protection locked="0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center" vertical="center"/>
    </xf>
    <xf numFmtId="0" fontId="30" fillId="2" borderId="18" xfId="1" applyFont="1" applyFill="1" applyBorder="1" applyAlignment="1">
      <alignment horizontal="center" vertical="center"/>
    </xf>
    <xf numFmtId="0" fontId="30" fillId="2" borderId="19" xfId="1" applyFont="1" applyFill="1" applyBorder="1" applyAlignment="1">
      <alignment horizontal="center" vertical="center"/>
    </xf>
    <xf numFmtId="0" fontId="30" fillId="2" borderId="20" xfId="1" applyFont="1" applyFill="1" applyBorder="1" applyAlignment="1">
      <alignment horizontal="center" vertical="center"/>
    </xf>
    <xf numFmtId="0" fontId="31" fillId="2" borderId="10" xfId="1" applyFont="1" applyFill="1" applyBorder="1" applyAlignment="1">
      <alignment horizontal="center" vertical="center"/>
    </xf>
    <xf numFmtId="0" fontId="33" fillId="3" borderId="0" xfId="1" applyFont="1" applyFill="1" applyAlignment="1" applyProtection="1">
      <alignment horizontal="left" wrapText="1"/>
      <protection locked="0"/>
    </xf>
    <xf numFmtId="0" fontId="34" fillId="3" borderId="0" xfId="1" applyFont="1" applyFill="1" applyAlignment="1" applyProtection="1">
      <alignment horizontal="left" vertical="center"/>
      <protection locked="0"/>
    </xf>
    <xf numFmtId="0" fontId="30" fillId="2" borderId="18" xfId="1" applyFont="1" applyFill="1" applyBorder="1" applyAlignment="1">
      <alignment horizontal="justify" vertical="center" wrapText="1"/>
    </xf>
    <xf numFmtId="0" fontId="30" fillId="2" borderId="19" xfId="1" applyFont="1" applyFill="1" applyBorder="1" applyAlignment="1">
      <alignment horizontal="justify" vertical="center" wrapText="1"/>
    </xf>
    <xf numFmtId="0" fontId="30" fillId="2" borderId="20" xfId="1" applyFont="1" applyFill="1" applyBorder="1" applyAlignment="1">
      <alignment horizontal="justify" vertical="center" wrapText="1"/>
    </xf>
    <xf numFmtId="0" fontId="30" fillId="2" borderId="18" xfId="1" applyFont="1" applyFill="1" applyBorder="1" applyAlignment="1">
      <alignment horizontal="left" vertical="center" wrapText="1"/>
    </xf>
    <xf numFmtId="0" fontId="30" fillId="2" borderId="19" xfId="1" applyFont="1" applyFill="1" applyBorder="1" applyAlignment="1">
      <alignment horizontal="left" vertical="center" wrapText="1"/>
    </xf>
    <xf numFmtId="0" fontId="30" fillId="2" borderId="20" xfId="1" applyFont="1" applyFill="1" applyBorder="1" applyAlignment="1">
      <alignment horizontal="left" vertical="center" wrapText="1"/>
    </xf>
    <xf numFmtId="0" fontId="32" fillId="2" borderId="47" xfId="1" applyFont="1" applyFill="1" applyBorder="1" applyAlignment="1">
      <alignment horizontal="center" vertical="center"/>
    </xf>
    <xf numFmtId="0" fontId="32" fillId="2" borderId="40" xfId="1" applyFont="1" applyFill="1" applyBorder="1" applyAlignment="1">
      <alignment horizontal="center" vertical="center"/>
    </xf>
    <xf numFmtId="0" fontId="32" fillId="2" borderId="55" xfId="1" applyFont="1" applyFill="1" applyBorder="1" applyAlignment="1">
      <alignment horizontal="center" vertical="center"/>
    </xf>
    <xf numFmtId="0" fontId="30" fillId="2" borderId="21" xfId="1" applyFont="1" applyFill="1" applyBorder="1" applyAlignment="1">
      <alignment horizontal="left" vertical="center" wrapText="1"/>
    </xf>
    <xf numFmtId="0" fontId="30" fillId="2" borderId="22" xfId="1" applyFont="1" applyFill="1" applyBorder="1" applyAlignment="1">
      <alignment horizontal="left" vertical="center" wrapText="1"/>
    </xf>
    <xf numFmtId="0" fontId="30" fillId="2" borderId="43" xfId="1" applyFont="1" applyFill="1" applyBorder="1" applyAlignment="1">
      <alignment horizontal="left" vertical="center" wrapText="1"/>
    </xf>
    <xf numFmtId="0" fontId="30" fillId="2" borderId="44" xfId="1" applyFont="1" applyFill="1" applyBorder="1" applyAlignment="1">
      <alignment horizontal="left" vertical="center" wrapText="1"/>
    </xf>
    <xf numFmtId="0" fontId="32" fillId="2" borderId="10" xfId="1" applyFont="1" applyFill="1" applyBorder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2" borderId="9" xfId="1" applyFont="1" applyFill="1" applyBorder="1" applyAlignment="1">
      <alignment horizontal="center" vertical="center"/>
    </xf>
    <xf numFmtId="2" fontId="33" fillId="3" borderId="13" xfId="1" applyNumberFormat="1" applyFont="1" applyFill="1" applyBorder="1" applyAlignment="1" applyProtection="1">
      <alignment horizontal="center" vertical="center"/>
      <protection locked="0"/>
    </xf>
    <xf numFmtId="2" fontId="33" fillId="3" borderId="14" xfId="1" applyNumberFormat="1" applyFont="1" applyFill="1" applyBorder="1" applyAlignment="1" applyProtection="1">
      <alignment horizontal="center" vertical="center"/>
      <protection locked="0"/>
    </xf>
    <xf numFmtId="2" fontId="33" fillId="3" borderId="15" xfId="1" applyNumberFormat="1" applyFont="1" applyFill="1" applyBorder="1" applyAlignment="1" applyProtection="1">
      <alignment horizontal="center" vertical="center"/>
      <protection locked="0"/>
    </xf>
    <xf numFmtId="0" fontId="32" fillId="2" borderId="43" xfId="1" applyFont="1" applyFill="1" applyBorder="1" applyAlignment="1">
      <alignment horizontal="center" vertical="center"/>
    </xf>
    <xf numFmtId="0" fontId="32" fillId="2" borderId="47" xfId="1" applyFont="1" applyFill="1" applyBorder="1" applyAlignment="1">
      <alignment horizontal="center"/>
    </xf>
    <xf numFmtId="0" fontId="32" fillId="2" borderId="55" xfId="1" applyFont="1" applyFill="1" applyBorder="1" applyAlignment="1">
      <alignment horizontal="center"/>
    </xf>
    <xf numFmtId="0" fontId="30" fillId="2" borderId="10" xfId="1" applyFont="1" applyFill="1" applyBorder="1" applyAlignment="1">
      <alignment horizontal="left" vertical="center" wrapText="1"/>
    </xf>
    <xf numFmtId="0" fontId="30" fillId="2" borderId="9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33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ena/AppData/Local/Temp/NDQB201805444-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Efavirenz"/>
    </sheetNames>
    <sheetDataSet>
      <sheetData sheetId="0" refreshError="1"/>
      <sheetData sheetId="1">
        <row r="46">
          <cell r="C46">
            <v>352.59300000000007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8" workbookViewId="0">
      <selection activeCell="B28" sqref="B2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533" t="s">
        <v>0</v>
      </c>
      <c r="B15" s="533"/>
      <c r="C15" s="533"/>
      <c r="D15" s="533"/>
      <c r="E15" s="53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97.21</v>
      </c>
      <c r="C19" s="10"/>
      <c r="D19" s="10"/>
      <c r="E19" s="10"/>
    </row>
    <row r="20" spans="1:6" ht="16.5" customHeight="1" x14ac:dyDescent="0.3">
      <c r="A20" s="7" t="s">
        <v>8</v>
      </c>
      <c r="B20" s="12">
        <v>25.72</v>
      </c>
      <c r="C20" s="10"/>
      <c r="D20" s="10"/>
      <c r="E20" s="10"/>
    </row>
    <row r="21" spans="1:6" ht="16.5" customHeight="1" x14ac:dyDescent="0.3">
      <c r="A21" s="7" t="s">
        <v>10</v>
      </c>
      <c r="B21" s="13">
        <f>25.72/50*5/10</f>
        <v>0.25719999999999998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76988619</v>
      </c>
      <c r="C24" s="18">
        <v>1436.11</v>
      </c>
      <c r="D24" s="19">
        <v>1.01</v>
      </c>
      <c r="E24" s="20">
        <v>2.4900000000000002</v>
      </c>
    </row>
    <row r="25" spans="1:6" ht="16.5" customHeight="1" x14ac:dyDescent="0.3">
      <c r="A25" s="17">
        <v>2</v>
      </c>
      <c r="B25" s="18">
        <v>77520546</v>
      </c>
      <c r="C25" s="18">
        <v>1439.53</v>
      </c>
      <c r="D25" s="19">
        <v>1</v>
      </c>
      <c r="E25" s="19">
        <v>2.4900000000000002</v>
      </c>
    </row>
    <row r="26" spans="1:6" ht="16.5" customHeight="1" x14ac:dyDescent="0.3">
      <c r="A26" s="17">
        <v>3</v>
      </c>
      <c r="B26" s="18">
        <v>77503671</v>
      </c>
      <c r="C26" s="18">
        <v>1443.53</v>
      </c>
      <c r="D26" s="19">
        <v>0.99</v>
      </c>
      <c r="E26" s="19">
        <v>2.4900000000000002</v>
      </c>
    </row>
    <row r="27" spans="1:6" ht="16.5" customHeight="1" x14ac:dyDescent="0.3">
      <c r="A27" s="17">
        <v>4</v>
      </c>
      <c r="B27" s="18">
        <v>76709631</v>
      </c>
      <c r="C27" s="18">
        <v>1453.57</v>
      </c>
      <c r="D27" s="19">
        <v>1</v>
      </c>
      <c r="E27" s="19">
        <v>2.4900000000000002</v>
      </c>
    </row>
    <row r="28" spans="1:6" ht="16.5" customHeight="1" x14ac:dyDescent="0.3">
      <c r="A28" s="17">
        <v>5</v>
      </c>
      <c r="B28" s="18">
        <v>76962895</v>
      </c>
      <c r="C28" s="18">
        <v>1466.18</v>
      </c>
      <c r="D28" s="19">
        <v>0.99</v>
      </c>
      <c r="E28" s="19">
        <v>2.4900000000000002</v>
      </c>
    </row>
    <row r="29" spans="1:6" ht="16.5" customHeight="1" x14ac:dyDescent="0.3">
      <c r="A29" s="17">
        <v>6</v>
      </c>
      <c r="B29" s="21">
        <v>77164647</v>
      </c>
      <c r="C29" s="21">
        <v>1451.94</v>
      </c>
      <c r="D29" s="22">
        <v>0.98</v>
      </c>
      <c r="E29" s="22">
        <v>2.4900000000000002</v>
      </c>
    </row>
    <row r="30" spans="1:6" ht="16.5" customHeight="1" x14ac:dyDescent="0.3">
      <c r="A30" s="23" t="s">
        <v>18</v>
      </c>
      <c r="B30" s="24">
        <f>AVERAGE(B24:B29)</f>
        <v>77141668.166666672</v>
      </c>
      <c r="C30" s="25">
        <f>AVERAGE(C24:C29)</f>
        <v>1448.4766666666667</v>
      </c>
      <c r="D30" s="26">
        <f>AVERAGE(D24:D29)</f>
        <v>0.99500000000000011</v>
      </c>
      <c r="E30" s="26">
        <f>AVERAGE(E24:E29)</f>
        <v>2.4900000000000002</v>
      </c>
    </row>
    <row r="31" spans="1:6" ht="16.5" customHeight="1" x14ac:dyDescent="0.3">
      <c r="A31" s="27" t="s">
        <v>19</v>
      </c>
      <c r="B31" s="28">
        <f>(STDEV(B24:B29)/B30)</f>
        <v>4.169072844007124E-3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534" t="s">
        <v>26</v>
      </c>
      <c r="C59" s="53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132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C19" sqref="C19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38" t="s">
        <v>31</v>
      </c>
      <c r="B11" s="539"/>
      <c r="C11" s="539"/>
      <c r="D11" s="539"/>
      <c r="E11" s="539"/>
      <c r="F11" s="540"/>
      <c r="G11" s="91"/>
    </row>
    <row r="12" spans="1:7" ht="16.5" customHeight="1" x14ac:dyDescent="0.3">
      <c r="A12" s="537" t="s">
        <v>32</v>
      </c>
      <c r="B12" s="537"/>
      <c r="C12" s="537"/>
      <c r="D12" s="537"/>
      <c r="E12" s="537"/>
      <c r="F12" s="537"/>
      <c r="G12" s="90"/>
    </row>
    <row r="14" spans="1:7" ht="16.5" customHeight="1" x14ac:dyDescent="0.3">
      <c r="A14" s="542" t="s">
        <v>33</v>
      </c>
      <c r="B14" s="542"/>
      <c r="C14" s="60" t="s">
        <v>5</v>
      </c>
    </row>
    <row r="15" spans="1:7" ht="16.5" customHeight="1" x14ac:dyDescent="0.3">
      <c r="A15" s="542" t="s">
        <v>34</v>
      </c>
      <c r="B15" s="542"/>
      <c r="C15" s="60" t="s">
        <v>7</v>
      </c>
    </row>
    <row r="16" spans="1:7" ht="16.5" customHeight="1" x14ac:dyDescent="0.3">
      <c r="A16" s="542" t="s">
        <v>35</v>
      </c>
      <c r="B16" s="542"/>
      <c r="C16" s="60" t="s">
        <v>9</v>
      </c>
    </row>
    <row r="17" spans="1:5" ht="16.5" customHeight="1" x14ac:dyDescent="0.3">
      <c r="A17" s="542" t="s">
        <v>36</v>
      </c>
      <c r="B17" s="542"/>
      <c r="C17" s="60" t="s">
        <v>11</v>
      </c>
    </row>
    <row r="18" spans="1:5" ht="16.5" customHeight="1" x14ac:dyDescent="0.3">
      <c r="A18" s="542" t="s">
        <v>37</v>
      </c>
      <c r="B18" s="542"/>
      <c r="C18" s="97" t="s">
        <v>12</v>
      </c>
    </row>
    <row r="19" spans="1:5" ht="16.5" customHeight="1" x14ac:dyDescent="0.3">
      <c r="A19" s="542" t="s">
        <v>38</v>
      </c>
      <c r="B19" s="54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537" t="s">
        <v>1</v>
      </c>
      <c r="B21" s="537"/>
      <c r="C21" s="59" t="s">
        <v>39</v>
      </c>
      <c r="D21" s="66"/>
    </row>
    <row r="22" spans="1:5" ht="15.75" customHeight="1" x14ac:dyDescent="0.3">
      <c r="A22" s="541"/>
      <c r="B22" s="541"/>
      <c r="C22" s="57"/>
      <c r="D22" s="541"/>
      <c r="E22" s="541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354.83</v>
      </c>
      <c r="D24" s="87">
        <f t="shared" ref="D24:D43" si="0">(C24-$C$46)/$C$46</f>
        <v>6.3444254423653023E-3</v>
      </c>
      <c r="E24" s="53"/>
    </row>
    <row r="25" spans="1:5" ht="15.75" customHeight="1" x14ac:dyDescent="0.3">
      <c r="C25" s="95">
        <v>360.49</v>
      </c>
      <c r="D25" s="88">
        <f t="shared" si="0"/>
        <v>2.2396927902709165E-2</v>
      </c>
      <c r="E25" s="53"/>
    </row>
    <row r="26" spans="1:5" ht="15.75" customHeight="1" x14ac:dyDescent="0.3">
      <c r="C26" s="95">
        <v>348.18</v>
      </c>
      <c r="D26" s="88">
        <f t="shared" si="0"/>
        <v>-1.251584688295022E-2</v>
      </c>
      <c r="E26" s="53"/>
    </row>
    <row r="27" spans="1:5" ht="15.75" customHeight="1" x14ac:dyDescent="0.3">
      <c r="C27" s="95">
        <v>346.88</v>
      </c>
      <c r="D27" s="88">
        <f t="shared" si="0"/>
        <v>-1.6202817412711193E-2</v>
      </c>
      <c r="E27" s="53"/>
    </row>
    <row r="28" spans="1:5" ht="15.75" customHeight="1" x14ac:dyDescent="0.3">
      <c r="C28" s="95">
        <v>351.95</v>
      </c>
      <c r="D28" s="88">
        <f t="shared" si="0"/>
        <v>-1.8236323466435404E-3</v>
      </c>
      <c r="E28" s="53"/>
    </row>
    <row r="29" spans="1:5" ht="15.75" customHeight="1" x14ac:dyDescent="0.3">
      <c r="C29" s="95">
        <v>359.98</v>
      </c>
      <c r="D29" s="88">
        <f t="shared" si="0"/>
        <v>2.0950501002572206E-2</v>
      </c>
      <c r="E29" s="53"/>
    </row>
    <row r="30" spans="1:5" ht="15.75" customHeight="1" x14ac:dyDescent="0.3">
      <c r="C30" s="95">
        <v>347.42</v>
      </c>
      <c r="D30" s="88">
        <f t="shared" si="0"/>
        <v>-1.4671306577271975E-2</v>
      </c>
      <c r="E30" s="53"/>
    </row>
    <row r="31" spans="1:5" ht="15.75" customHeight="1" x14ac:dyDescent="0.3">
      <c r="C31" s="95">
        <v>352.9</v>
      </c>
      <c r="D31" s="88">
        <f t="shared" si="0"/>
        <v>8.7069227125865405E-4</v>
      </c>
      <c r="E31" s="53"/>
    </row>
    <row r="32" spans="1:5" ht="15.75" customHeight="1" x14ac:dyDescent="0.3">
      <c r="C32" s="95">
        <v>345.82</v>
      </c>
      <c r="D32" s="88">
        <f t="shared" si="0"/>
        <v>-1.9209116460054736E-2</v>
      </c>
      <c r="E32" s="53"/>
    </row>
    <row r="33" spans="1:7" ht="15.75" customHeight="1" x14ac:dyDescent="0.3">
      <c r="C33" s="95">
        <v>359.25</v>
      </c>
      <c r="D33" s="88">
        <f t="shared" si="0"/>
        <v>1.8880125243552551E-2</v>
      </c>
      <c r="E33" s="53"/>
    </row>
    <row r="34" spans="1:7" ht="15.75" customHeight="1" x14ac:dyDescent="0.3">
      <c r="C34" s="95">
        <v>352.28</v>
      </c>
      <c r="D34" s="88">
        <f t="shared" si="0"/>
        <v>-8.877090583196541E-4</v>
      </c>
      <c r="E34" s="53"/>
    </row>
    <row r="35" spans="1:7" ht="15.75" customHeight="1" x14ac:dyDescent="0.3">
      <c r="C35" s="95">
        <v>353.18</v>
      </c>
      <c r="D35" s="88">
        <f t="shared" si="0"/>
        <v>1.6648090007457101E-3</v>
      </c>
      <c r="E35" s="53"/>
    </row>
    <row r="36" spans="1:7" ht="15.75" customHeight="1" x14ac:dyDescent="0.3">
      <c r="C36" s="95">
        <v>357.22</v>
      </c>
      <c r="D36" s="88">
        <f t="shared" si="0"/>
        <v>1.3122778954772079E-2</v>
      </c>
      <c r="E36" s="53"/>
    </row>
    <row r="37" spans="1:7" ht="15.75" customHeight="1" x14ac:dyDescent="0.3">
      <c r="C37" s="95">
        <v>347.9</v>
      </c>
      <c r="D37" s="88">
        <f t="shared" si="0"/>
        <v>-1.3309963612437276E-2</v>
      </c>
      <c r="E37" s="53"/>
    </row>
    <row r="38" spans="1:7" ht="15.75" customHeight="1" x14ac:dyDescent="0.3">
      <c r="C38" s="95">
        <v>351.76</v>
      </c>
      <c r="D38" s="88">
        <f t="shared" si="0"/>
        <v>-2.3624972702239793E-3</v>
      </c>
      <c r="E38" s="53"/>
    </row>
    <row r="39" spans="1:7" ht="15.75" customHeight="1" x14ac:dyDescent="0.3">
      <c r="C39" s="95">
        <v>352.58</v>
      </c>
      <c r="D39" s="88">
        <f t="shared" si="0"/>
        <v>-3.6869705297866072E-5</v>
      </c>
      <c r="E39" s="53"/>
    </row>
    <row r="40" spans="1:7" ht="15.75" customHeight="1" x14ac:dyDescent="0.3">
      <c r="C40" s="95">
        <v>357.59</v>
      </c>
      <c r="D40" s="88">
        <f t="shared" si="0"/>
        <v>1.417214749016543E-2</v>
      </c>
      <c r="E40" s="53"/>
    </row>
    <row r="41" spans="1:7" ht="15.75" customHeight="1" x14ac:dyDescent="0.3">
      <c r="C41" s="95">
        <v>350.35</v>
      </c>
      <c r="D41" s="88">
        <f t="shared" si="0"/>
        <v>-6.3614422294261414E-3</v>
      </c>
      <c r="E41" s="53"/>
    </row>
    <row r="42" spans="1:7" ht="15.75" customHeight="1" x14ac:dyDescent="0.3">
      <c r="C42" s="95">
        <v>351.02</v>
      </c>
      <c r="D42" s="88">
        <f t="shared" si="0"/>
        <v>-4.461234341011003E-3</v>
      </c>
      <c r="E42" s="53"/>
    </row>
    <row r="43" spans="1:7" ht="16.5" customHeight="1" x14ac:dyDescent="0.3">
      <c r="C43" s="96">
        <v>350.28</v>
      </c>
      <c r="D43" s="89">
        <f t="shared" si="0"/>
        <v>-6.5599714117980257E-3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7051.8600000000015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352.59300000000007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535">
        <f>C46</f>
        <v>352.59300000000007</v>
      </c>
      <c r="C49" s="93">
        <f>-IF(C46&lt;=80,10%,IF(C46&lt;250,7.5%,5%))</f>
        <v>-0.05</v>
      </c>
      <c r="D49" s="81">
        <f>IF(C46&lt;=80,C46*0.9,IF(C46&lt;250,C46*0.925,C46*0.95))</f>
        <v>334.96335000000005</v>
      </c>
    </row>
    <row r="50" spans="1:6" ht="17.25" customHeight="1" x14ac:dyDescent="0.3">
      <c r="B50" s="536"/>
      <c r="C50" s="94">
        <f>IF(C46&lt;=80, 10%, IF(C46&lt;250, 7.5%, 5%))</f>
        <v>0.05</v>
      </c>
      <c r="D50" s="81">
        <f>IF(C46&lt;=80, C46*1.1, IF(C46&lt;250, C46*1.075, C46*1.05))</f>
        <v>370.2226500000001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2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1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0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9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8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7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6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5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4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3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2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1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0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9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8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7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6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5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4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3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2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06" zoomScale="50" zoomScaleNormal="40" zoomScalePageLayoutView="50" workbookViewId="0">
      <selection activeCell="D108" sqref="D108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543" t="s">
        <v>45</v>
      </c>
      <c r="B1" s="543"/>
      <c r="C1" s="543"/>
      <c r="D1" s="543"/>
      <c r="E1" s="543"/>
      <c r="F1" s="543"/>
      <c r="G1" s="543"/>
      <c r="H1" s="543"/>
      <c r="I1" s="543"/>
    </row>
    <row r="2" spans="1:9" ht="18.75" customHeight="1" x14ac:dyDescent="0.25">
      <c r="A2" s="543"/>
      <c r="B2" s="543"/>
      <c r="C2" s="543"/>
      <c r="D2" s="543"/>
      <c r="E2" s="543"/>
      <c r="F2" s="543"/>
      <c r="G2" s="543"/>
      <c r="H2" s="543"/>
      <c r="I2" s="543"/>
    </row>
    <row r="3" spans="1:9" ht="18.75" customHeight="1" x14ac:dyDescent="0.25">
      <c r="A3" s="543"/>
      <c r="B3" s="543"/>
      <c r="C3" s="543"/>
      <c r="D3" s="543"/>
      <c r="E3" s="543"/>
      <c r="F3" s="543"/>
      <c r="G3" s="543"/>
      <c r="H3" s="543"/>
      <c r="I3" s="543"/>
    </row>
    <row r="4" spans="1:9" ht="18.75" customHeight="1" x14ac:dyDescent="0.25">
      <c r="A4" s="543"/>
      <c r="B4" s="543"/>
      <c r="C4" s="543"/>
      <c r="D4" s="543"/>
      <c r="E4" s="543"/>
      <c r="F4" s="543"/>
      <c r="G4" s="543"/>
      <c r="H4" s="543"/>
      <c r="I4" s="543"/>
    </row>
    <row r="5" spans="1:9" ht="18.75" customHeight="1" x14ac:dyDescent="0.25">
      <c r="A5" s="543"/>
      <c r="B5" s="543"/>
      <c r="C5" s="543"/>
      <c r="D5" s="543"/>
      <c r="E5" s="543"/>
      <c r="F5" s="543"/>
      <c r="G5" s="543"/>
      <c r="H5" s="543"/>
      <c r="I5" s="543"/>
    </row>
    <row r="6" spans="1:9" ht="18.75" customHeight="1" x14ac:dyDescent="0.25">
      <c r="A6" s="543"/>
      <c r="B6" s="543"/>
      <c r="C6" s="543"/>
      <c r="D6" s="543"/>
      <c r="E6" s="543"/>
      <c r="F6" s="543"/>
      <c r="G6" s="543"/>
      <c r="H6" s="543"/>
      <c r="I6" s="543"/>
    </row>
    <row r="7" spans="1:9" ht="18.75" customHeight="1" x14ac:dyDescent="0.25">
      <c r="A7" s="543"/>
      <c r="B7" s="543"/>
      <c r="C7" s="543"/>
      <c r="D7" s="543"/>
      <c r="E7" s="543"/>
      <c r="F7" s="543"/>
      <c r="G7" s="543"/>
      <c r="H7" s="543"/>
      <c r="I7" s="543"/>
    </row>
    <row r="8" spans="1:9" x14ac:dyDescent="0.25">
      <c r="A8" s="544" t="s">
        <v>46</v>
      </c>
      <c r="B8" s="544"/>
      <c r="C8" s="544"/>
      <c r="D8" s="544"/>
      <c r="E8" s="544"/>
      <c r="F8" s="544"/>
      <c r="G8" s="544"/>
      <c r="H8" s="544"/>
      <c r="I8" s="544"/>
    </row>
    <row r="9" spans="1:9" x14ac:dyDescent="0.25">
      <c r="A9" s="544"/>
      <c r="B9" s="544"/>
      <c r="C9" s="544"/>
      <c r="D9" s="544"/>
      <c r="E9" s="544"/>
      <c r="F9" s="544"/>
      <c r="G9" s="544"/>
      <c r="H9" s="544"/>
      <c r="I9" s="544"/>
    </row>
    <row r="10" spans="1:9" x14ac:dyDescent="0.25">
      <c r="A10" s="544"/>
      <c r="B10" s="544"/>
      <c r="C10" s="544"/>
      <c r="D10" s="544"/>
      <c r="E10" s="544"/>
      <c r="F10" s="544"/>
      <c r="G10" s="544"/>
      <c r="H10" s="544"/>
      <c r="I10" s="544"/>
    </row>
    <row r="11" spans="1:9" x14ac:dyDescent="0.25">
      <c r="A11" s="544"/>
      <c r="B11" s="544"/>
      <c r="C11" s="544"/>
      <c r="D11" s="544"/>
      <c r="E11" s="544"/>
      <c r="F11" s="544"/>
      <c r="G11" s="544"/>
      <c r="H11" s="544"/>
      <c r="I11" s="544"/>
    </row>
    <row r="12" spans="1:9" x14ac:dyDescent="0.25">
      <c r="A12" s="544"/>
      <c r="B12" s="544"/>
      <c r="C12" s="544"/>
      <c r="D12" s="544"/>
      <c r="E12" s="544"/>
      <c r="F12" s="544"/>
      <c r="G12" s="544"/>
      <c r="H12" s="544"/>
      <c r="I12" s="544"/>
    </row>
    <row r="13" spans="1:9" x14ac:dyDescent="0.25">
      <c r="A13" s="544"/>
      <c r="B13" s="544"/>
      <c r="C13" s="544"/>
      <c r="D13" s="544"/>
      <c r="E13" s="544"/>
      <c r="F13" s="544"/>
      <c r="G13" s="544"/>
      <c r="H13" s="544"/>
      <c r="I13" s="544"/>
    </row>
    <row r="14" spans="1:9" x14ac:dyDescent="0.25">
      <c r="A14" s="544"/>
      <c r="B14" s="544"/>
      <c r="C14" s="544"/>
      <c r="D14" s="544"/>
      <c r="E14" s="544"/>
      <c r="F14" s="544"/>
      <c r="G14" s="544"/>
      <c r="H14" s="544"/>
      <c r="I14" s="544"/>
    </row>
    <row r="15" spans="1:9" ht="19.5" customHeight="1" x14ac:dyDescent="0.3">
      <c r="A15" s="98"/>
    </row>
    <row r="16" spans="1:9" ht="19.5" customHeight="1" x14ac:dyDescent="0.3">
      <c r="A16" s="576" t="s">
        <v>31</v>
      </c>
      <c r="B16" s="577"/>
      <c r="C16" s="577"/>
      <c r="D16" s="577"/>
      <c r="E16" s="577"/>
      <c r="F16" s="577"/>
      <c r="G16" s="577"/>
      <c r="H16" s="578"/>
    </row>
    <row r="17" spans="1:14" ht="20.25" customHeight="1" x14ac:dyDescent="0.25">
      <c r="A17" s="579" t="s">
        <v>47</v>
      </c>
      <c r="B17" s="579"/>
      <c r="C17" s="579"/>
      <c r="D17" s="579"/>
      <c r="E17" s="579"/>
      <c r="F17" s="579"/>
      <c r="G17" s="579"/>
      <c r="H17" s="579"/>
    </row>
    <row r="18" spans="1:14" ht="26.25" customHeight="1" x14ac:dyDescent="0.4">
      <c r="A18" s="100" t="s">
        <v>33</v>
      </c>
      <c r="B18" s="575" t="s">
        <v>5</v>
      </c>
      <c r="C18" s="575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580" t="s">
        <v>9</v>
      </c>
      <c r="C20" s="580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580" t="s">
        <v>11</v>
      </c>
      <c r="C21" s="580"/>
      <c r="D21" s="580"/>
      <c r="E21" s="580"/>
      <c r="F21" s="580"/>
      <c r="G21" s="580"/>
      <c r="H21" s="580"/>
      <c r="I21" s="104"/>
    </row>
    <row r="22" spans="1:14" ht="26.25" customHeight="1" x14ac:dyDescent="0.4">
      <c r="A22" s="100" t="s">
        <v>37</v>
      </c>
      <c r="B22" s="105">
        <v>43271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283">
        <v>43272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75" t="s">
        <v>9</v>
      </c>
      <c r="C26" s="575"/>
    </row>
    <row r="27" spans="1:14" ht="26.25" customHeight="1" x14ac:dyDescent="0.4">
      <c r="A27" s="109" t="s">
        <v>48</v>
      </c>
      <c r="B27" s="581" t="s">
        <v>131</v>
      </c>
      <c r="C27" s="581"/>
    </row>
    <row r="28" spans="1:14" ht="27" customHeight="1" x14ac:dyDescent="0.4">
      <c r="A28" s="109" t="s">
        <v>6</v>
      </c>
      <c r="B28" s="110">
        <v>97.21</v>
      </c>
    </row>
    <row r="29" spans="1:14" s="14" customFormat="1" ht="27" customHeight="1" x14ac:dyDescent="0.4">
      <c r="A29" s="109" t="s">
        <v>49</v>
      </c>
      <c r="B29" s="111">
        <v>0</v>
      </c>
      <c r="C29" s="551" t="s">
        <v>50</v>
      </c>
      <c r="D29" s="552"/>
      <c r="E29" s="552"/>
      <c r="F29" s="552"/>
      <c r="G29" s="553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97.21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554" t="s">
        <v>53</v>
      </c>
      <c r="D31" s="555"/>
      <c r="E31" s="555"/>
      <c r="F31" s="555"/>
      <c r="G31" s="555"/>
      <c r="H31" s="556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554" t="s">
        <v>55</v>
      </c>
      <c r="D32" s="555"/>
      <c r="E32" s="555"/>
      <c r="F32" s="555"/>
      <c r="G32" s="555"/>
      <c r="H32" s="556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557" t="s">
        <v>59</v>
      </c>
      <c r="E36" s="582"/>
      <c r="F36" s="557" t="s">
        <v>60</v>
      </c>
      <c r="G36" s="558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</v>
      </c>
      <c r="C38" s="131">
        <v>1</v>
      </c>
      <c r="D38" s="132">
        <v>77574574</v>
      </c>
      <c r="E38" s="133">
        <f>IF(ISBLANK(D38),"-",$D$48/$D$45*D38)</f>
        <v>74464406.714040235</v>
      </c>
      <c r="F38" s="132">
        <v>77774927</v>
      </c>
      <c r="G38" s="134">
        <f>IF(ISBLANK(F38),"-",$D$48/$F$45*F38)</f>
        <v>75153464.557434216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77429610</v>
      </c>
      <c r="E39" s="138">
        <f>IF(ISBLANK(D39),"-",$D$48/$D$45*D39)</f>
        <v>74325254.699426606</v>
      </c>
      <c r="F39" s="137">
        <v>78583794</v>
      </c>
      <c r="G39" s="139">
        <f>IF(ISBLANK(F39),"-",$D$48/$F$45*F39)</f>
        <v>75935068.086501867</v>
      </c>
      <c r="I39" s="559">
        <f>ABS((F43/D43*D42)-F42)/D42</f>
        <v>1.5711777817053039E-2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76825478</v>
      </c>
      <c r="E40" s="138">
        <f>IF(ISBLANK(D40),"-",$D$48/$D$45*D40)</f>
        <v>73745343.929217711</v>
      </c>
      <c r="F40" s="137">
        <v>77581086</v>
      </c>
      <c r="G40" s="139">
        <f>IF(ISBLANK(F40),"-",$D$48/$F$45*F40)</f>
        <v>74966157.114210546</v>
      </c>
      <c r="I40" s="559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77276554</v>
      </c>
      <c r="E42" s="148">
        <f>AVERAGE(E38:E41)</f>
        <v>74178335.114228189</v>
      </c>
      <c r="F42" s="147">
        <f>AVERAGE(F38:F41)</f>
        <v>77979935.666666672</v>
      </c>
      <c r="G42" s="149">
        <f>AVERAGE(G38:G41)</f>
        <v>75351563.252715543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25.72</v>
      </c>
      <c r="E43" s="140"/>
      <c r="F43" s="152">
        <v>25.55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25.72</v>
      </c>
      <c r="E44" s="155"/>
      <c r="F44" s="154">
        <f>F43*$B$34</f>
        <v>25.55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25.002412</v>
      </c>
      <c r="E45" s="158"/>
      <c r="F45" s="157">
        <f>F44*$B$30/100</f>
        <v>24.837154999999999</v>
      </c>
      <c r="H45" s="150"/>
    </row>
    <row r="46" spans="1:14" ht="19.5" customHeight="1" x14ac:dyDescent="0.3">
      <c r="A46" s="545" t="s">
        <v>78</v>
      </c>
      <c r="B46" s="546"/>
      <c r="C46" s="153" t="s">
        <v>79</v>
      </c>
      <c r="D46" s="159">
        <f>D45/$B$45</f>
        <v>0.25002412000000002</v>
      </c>
      <c r="E46" s="160"/>
      <c r="F46" s="161">
        <f>F45/$B$45</f>
        <v>0.24837155</v>
      </c>
      <c r="H46" s="150"/>
    </row>
    <row r="47" spans="1:14" ht="27" customHeight="1" x14ac:dyDescent="0.4">
      <c r="A47" s="547"/>
      <c r="B47" s="548"/>
      <c r="C47" s="162" t="s">
        <v>80</v>
      </c>
      <c r="D47" s="163">
        <v>0.24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24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24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74764949.183471873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1.0157900723493882E-2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 contains: Efavirenz USP 200 mg.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 xml:space="preserve">EFAVIRENZ </v>
      </c>
      <c r="H56" s="179"/>
    </row>
    <row r="57" spans="1:12" ht="18.75" x14ac:dyDescent="0.3">
      <c r="A57" s="176" t="s">
        <v>88</v>
      </c>
      <c r="B57" s="247">
        <f>Uniformity!C46</f>
        <v>352.59300000000007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562" t="s">
        <v>94</v>
      </c>
      <c r="D60" s="565">
        <v>423.38</v>
      </c>
      <c r="E60" s="182">
        <v>1</v>
      </c>
      <c r="F60" s="183">
        <v>71008373</v>
      </c>
      <c r="G60" s="248">
        <f>IF(ISBLANK(F60),"-",(F60/$D$50*$D$47*$B$68)*($B$57/$D$60))</f>
        <v>189.83055110882975</v>
      </c>
      <c r="H60" s="266">
        <f t="shared" ref="H60:H71" si="0">IF(ISBLANK(F60),"-",(G60/$B$56)*100)</f>
        <v>94.915275554414876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563"/>
      <c r="D61" s="566"/>
      <c r="E61" s="184">
        <v>2</v>
      </c>
      <c r="F61" s="137">
        <v>70175518</v>
      </c>
      <c r="G61" s="249">
        <f>IF(ISBLANK(F61),"-",(F61/$D$50*$D$47*$B$68)*($B$57/$D$60))</f>
        <v>187.6040344747457</v>
      </c>
      <c r="H61" s="267">
        <f t="shared" si="0"/>
        <v>93.802017237372851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563"/>
      <c r="D62" s="566"/>
      <c r="E62" s="184">
        <v>3</v>
      </c>
      <c r="F62" s="185">
        <v>70169002</v>
      </c>
      <c r="G62" s="249">
        <f>IF(ISBLANK(F62),"-",(F62/$D$50*$D$47*$B$68)*($B$57/$D$60))</f>
        <v>187.58661489704286</v>
      </c>
      <c r="H62" s="267">
        <f t="shared" si="0"/>
        <v>93.793307448521432</v>
      </c>
      <c r="L62" s="112"/>
    </row>
    <row r="63" spans="1:12" ht="27" customHeight="1" x14ac:dyDescent="0.4">
      <c r="A63" s="124" t="s">
        <v>97</v>
      </c>
      <c r="B63" s="125">
        <v>1</v>
      </c>
      <c r="C63" s="572"/>
      <c r="D63" s="567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562" t="s">
        <v>99</v>
      </c>
      <c r="D64" s="565">
        <v>423.03</v>
      </c>
      <c r="E64" s="182">
        <v>1</v>
      </c>
      <c r="F64" s="183">
        <v>70681494</v>
      </c>
      <c r="G64" s="248">
        <f>IF(ISBLANK(F64),"-",(F64/$D$50*$D$47*$B$68)*($B$57/$D$64))</f>
        <v>189.11302372765721</v>
      </c>
      <c r="H64" s="266">
        <f t="shared" si="0"/>
        <v>94.556511863828604</v>
      </c>
    </row>
    <row r="65" spans="1:8" ht="26.25" customHeight="1" x14ac:dyDescent="0.4">
      <c r="A65" s="124" t="s">
        <v>100</v>
      </c>
      <c r="B65" s="125">
        <v>1</v>
      </c>
      <c r="C65" s="563"/>
      <c r="D65" s="566"/>
      <c r="E65" s="184">
        <v>2</v>
      </c>
      <c r="F65" s="137">
        <v>70046870</v>
      </c>
      <c r="G65" s="249">
        <f>IF(ISBLANK(F65),"-",(F65/$D$50*$D$47*$B$68)*($B$57/$D$64))</f>
        <v>187.41504513696498</v>
      </c>
      <c r="H65" s="267">
        <f t="shared" si="0"/>
        <v>93.707522568482489</v>
      </c>
    </row>
    <row r="66" spans="1:8" ht="26.25" customHeight="1" x14ac:dyDescent="0.4">
      <c r="A66" s="124" t="s">
        <v>101</v>
      </c>
      <c r="B66" s="125">
        <v>1</v>
      </c>
      <c r="C66" s="563"/>
      <c r="D66" s="566"/>
      <c r="E66" s="184">
        <v>3</v>
      </c>
      <c r="F66" s="137">
        <v>70789060</v>
      </c>
      <c r="G66" s="249">
        <f>IF(ISBLANK(F66),"-",(F66/$D$50*$D$47*$B$68)*($B$57/$D$64))</f>
        <v>189.400823692812</v>
      </c>
      <c r="H66" s="267">
        <f t="shared" si="0"/>
        <v>94.700411846405999</v>
      </c>
    </row>
    <row r="67" spans="1:8" ht="27" customHeight="1" x14ac:dyDescent="0.4">
      <c r="A67" s="124" t="s">
        <v>102</v>
      </c>
      <c r="B67" s="125">
        <v>1</v>
      </c>
      <c r="C67" s="572"/>
      <c r="D67" s="567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1000</v>
      </c>
      <c r="C68" s="562" t="s">
        <v>104</v>
      </c>
      <c r="D68" s="565">
        <v>426.2</v>
      </c>
      <c r="E68" s="182">
        <v>1</v>
      </c>
      <c r="F68" s="183"/>
      <c r="G68" s="248" t="str">
        <f>IF(ISBLANK(F68),"-",(F68/$D$50*$D$47*$B$68)*($B$57/$D$68))</f>
        <v>-</v>
      </c>
      <c r="H68" s="267" t="str">
        <f t="shared" si="0"/>
        <v>-</v>
      </c>
    </row>
    <row r="69" spans="1:8" ht="27" customHeight="1" x14ac:dyDescent="0.4">
      <c r="A69" s="172" t="s">
        <v>105</v>
      </c>
      <c r="B69" s="189">
        <f>(D47*B68)/B56*B57</f>
        <v>423.11160000000007</v>
      </c>
      <c r="C69" s="563"/>
      <c r="D69" s="566"/>
      <c r="E69" s="184">
        <v>2</v>
      </c>
      <c r="F69" s="137"/>
      <c r="G69" s="249" t="str">
        <f>IF(ISBLANK(F69),"-",(F69/$D$50*$D$47*$B$68)*($B$57/$D$68))</f>
        <v>-</v>
      </c>
      <c r="H69" s="267" t="str">
        <f t="shared" si="0"/>
        <v>-</v>
      </c>
    </row>
    <row r="70" spans="1:8" ht="26.25" customHeight="1" x14ac:dyDescent="0.4">
      <c r="A70" s="568" t="s">
        <v>78</v>
      </c>
      <c r="B70" s="569"/>
      <c r="C70" s="563"/>
      <c r="D70" s="566"/>
      <c r="E70" s="184">
        <v>3</v>
      </c>
      <c r="F70" s="137"/>
      <c r="G70" s="249" t="str">
        <f>IF(ISBLANK(F70),"-",(F70/$D$50*$D$47*$B$68)*($B$57/$D$68))</f>
        <v>-</v>
      </c>
      <c r="H70" s="267" t="str">
        <f t="shared" si="0"/>
        <v>-</v>
      </c>
    </row>
    <row r="71" spans="1:8" ht="27" customHeight="1" x14ac:dyDescent="0.4">
      <c r="A71" s="570"/>
      <c r="B71" s="571"/>
      <c r="C71" s="564"/>
      <c r="D71" s="567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188.49168217300874</v>
      </c>
      <c r="H72" s="269">
        <f>AVERAGE(H60:H71)</f>
        <v>94.24584108650437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5.6998427587861928E-3</v>
      </c>
      <c r="H73" s="253">
        <f>STDEV(H60:H71)/H72</f>
        <v>5.6998427587861928E-3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8" t="s">
        <v>106</v>
      </c>
      <c r="B76" s="197" t="s">
        <v>107</v>
      </c>
      <c r="C76" s="549" t="str">
        <f>B26</f>
        <v xml:space="preserve">EFAVIRENZ </v>
      </c>
      <c r="D76" s="549"/>
      <c r="E76" s="198" t="s">
        <v>108</v>
      </c>
      <c r="F76" s="198"/>
      <c r="G76" s="282">
        <f>H72</f>
        <v>94.24584108650437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83" t="str">
        <f>B26</f>
        <v xml:space="preserve">EFAVIRENZ </v>
      </c>
      <c r="C79" s="583"/>
    </row>
    <row r="80" spans="1:8" ht="26.25" customHeight="1" x14ac:dyDescent="0.4">
      <c r="A80" s="109" t="s">
        <v>48</v>
      </c>
      <c r="B80" s="583" t="str">
        <f>B27</f>
        <v>E15-6</v>
      </c>
      <c r="C80" s="583"/>
    </row>
    <row r="81" spans="1:12" ht="27" customHeight="1" x14ac:dyDescent="0.4">
      <c r="A81" s="109" t="s">
        <v>6</v>
      </c>
      <c r="B81" s="201">
        <f>B28</f>
        <v>97.21</v>
      </c>
    </row>
    <row r="82" spans="1:12" s="14" customFormat="1" ht="27" customHeight="1" x14ac:dyDescent="0.4">
      <c r="A82" s="109" t="s">
        <v>49</v>
      </c>
      <c r="B82" s="111">
        <v>0</v>
      </c>
      <c r="C82" s="551" t="s">
        <v>50</v>
      </c>
      <c r="D82" s="552"/>
      <c r="E82" s="552"/>
      <c r="F82" s="552"/>
      <c r="G82" s="553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97.21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554" t="s">
        <v>111</v>
      </c>
      <c r="D84" s="555"/>
      <c r="E84" s="555"/>
      <c r="F84" s="555"/>
      <c r="G84" s="555"/>
      <c r="H84" s="556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554" t="s">
        <v>112</v>
      </c>
      <c r="D85" s="555"/>
      <c r="E85" s="555"/>
      <c r="F85" s="555"/>
      <c r="G85" s="555"/>
      <c r="H85" s="556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557" t="s">
        <v>60</v>
      </c>
      <c r="G89" s="558"/>
    </row>
    <row r="90" spans="1:12" ht="27" customHeight="1" x14ac:dyDescent="0.4">
      <c r="A90" s="124" t="s">
        <v>61</v>
      </c>
      <c r="B90" s="125">
        <v>3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0.63300000000000001</v>
      </c>
      <c r="E91" s="133">
        <f>IF(ISBLANK(D91),"-",$D$101/$D$98*D91)</f>
        <v>0.64503969821924712</v>
      </c>
      <c r="F91" s="132">
        <v>0.60199999999999998</v>
      </c>
      <c r="G91" s="134">
        <f>IF(ISBLANK(F91),"-",$D$101/$F$98*F91)</f>
        <v>0.63385655278693154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0.63300000000000001</v>
      </c>
      <c r="E92" s="138">
        <f>IF(ISBLANK(D92),"-",$D$101/$D$98*D92)</f>
        <v>0.64503969821924712</v>
      </c>
      <c r="F92" s="137">
        <v>0.60199999999999998</v>
      </c>
      <c r="G92" s="139">
        <f>IF(ISBLANK(F92),"-",$D$101/$F$98*F92)</f>
        <v>0.63385655278693154</v>
      </c>
      <c r="I92" s="559">
        <f>ABS((F96/D96*D95)-F95)/D95</f>
        <v>1.6753212898516705E-2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0.63400000000000001</v>
      </c>
      <c r="E93" s="138">
        <f>IF(ISBLANK(D93),"-",$D$101/$D$98*D93)</f>
        <v>0.64605871827962513</v>
      </c>
      <c r="F93" s="137">
        <v>0.60299999999999998</v>
      </c>
      <c r="G93" s="139">
        <f>IF(ISBLANK(F93),"-",$D$101/$F$98*F93)</f>
        <v>0.63490947064870384</v>
      </c>
      <c r="I93" s="559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0.6333333333333333</v>
      </c>
      <c r="E95" s="148">
        <f>AVERAGE(E91:E94)</f>
        <v>0.64537937157270642</v>
      </c>
      <c r="F95" s="211">
        <f>AVERAGE(F91:F94)</f>
        <v>0.60233333333333328</v>
      </c>
      <c r="G95" s="212">
        <f>AVERAGE(G91:G94)</f>
        <v>0.63420752540752234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20.190000000000001</v>
      </c>
      <c r="E96" s="140"/>
      <c r="F96" s="152">
        <v>19.54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20.190000000000001</v>
      </c>
      <c r="E97" s="155"/>
      <c r="F97" s="154">
        <f>F96*$B$87</f>
        <v>19.54</v>
      </c>
    </row>
    <row r="98" spans="1:10" ht="19.5" customHeight="1" x14ac:dyDescent="0.3">
      <c r="A98" s="124" t="s">
        <v>76</v>
      </c>
      <c r="B98" s="217">
        <f>(B97/B96)*(B95/B94)*(B93/B92)*(B91/B90)*B89</f>
        <v>1666.6666666666667</v>
      </c>
      <c r="C98" s="215" t="s">
        <v>115</v>
      </c>
      <c r="D98" s="218">
        <f>D97*$B$83/100</f>
        <v>19.626699000000002</v>
      </c>
      <c r="E98" s="158"/>
      <c r="F98" s="157">
        <f>F97*$B$83/100</f>
        <v>18.994833999999997</v>
      </c>
    </row>
    <row r="99" spans="1:10" ht="19.5" customHeight="1" x14ac:dyDescent="0.3">
      <c r="A99" s="545" t="s">
        <v>78</v>
      </c>
      <c r="B99" s="560"/>
      <c r="C99" s="215" t="s">
        <v>116</v>
      </c>
      <c r="D99" s="219">
        <f>D98/$B$98</f>
        <v>1.1776019400000001E-2</v>
      </c>
      <c r="E99" s="158"/>
      <c r="F99" s="161">
        <f>F98/$B$98</f>
        <v>1.1396900399999998E-2</v>
      </c>
      <c r="G99" s="220"/>
      <c r="H99" s="150"/>
    </row>
    <row r="100" spans="1:10" ht="19.5" customHeight="1" x14ac:dyDescent="0.3">
      <c r="A100" s="547"/>
      <c r="B100" s="561"/>
      <c r="C100" s="215" t="s">
        <v>80</v>
      </c>
      <c r="D100" s="221">
        <f>$B$56/$B$116</f>
        <v>1.1999999999999999E-2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20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20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0.63979344849011432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9.6006287444427036E-3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1000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3</v>
      </c>
      <c r="C108" s="273">
        <v>1</v>
      </c>
      <c r="D108" s="284">
        <v>0.496</v>
      </c>
      <c r="E108" s="250">
        <f t="shared" ref="E108:E113" si="1">IF(ISBLANK(D108),"-",D108/$D$103*$D$100*$B$116)</f>
        <v>155.05004034365751</v>
      </c>
      <c r="F108" s="274">
        <f t="shared" ref="F108:F113" si="2">IF(ISBLANK(D108), "-", (E108/$B$56)*100)</f>
        <v>77.525020171828757</v>
      </c>
    </row>
    <row r="109" spans="1:10" ht="26.25" customHeight="1" x14ac:dyDescent="0.4">
      <c r="A109" s="124" t="s">
        <v>95</v>
      </c>
      <c r="B109" s="125">
        <v>50</v>
      </c>
      <c r="C109" s="271">
        <v>2</v>
      </c>
      <c r="D109" s="285">
        <v>0.49199999999999999</v>
      </c>
      <c r="E109" s="251">
        <f t="shared" si="1"/>
        <v>153.799636792499</v>
      </c>
      <c r="F109" s="275">
        <f t="shared" si="2"/>
        <v>76.899818396249501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5">
        <v>0.49199999999999999</v>
      </c>
      <c r="E110" s="251">
        <f t="shared" si="1"/>
        <v>153.799636792499</v>
      </c>
      <c r="F110" s="275">
        <f t="shared" si="2"/>
        <v>76.899818396249501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5">
        <v>0.505</v>
      </c>
      <c r="E111" s="251">
        <f t="shared" si="1"/>
        <v>157.86344833376421</v>
      </c>
      <c r="F111" s="275">
        <f t="shared" si="2"/>
        <v>78.931724166882105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5">
        <v>0.48199999999999998</v>
      </c>
      <c r="E112" s="251">
        <f t="shared" si="1"/>
        <v>150.67362791460269</v>
      </c>
      <c r="F112" s="275">
        <f t="shared" si="2"/>
        <v>75.336813957301345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86">
        <v>0.498</v>
      </c>
      <c r="E113" s="252">
        <f t="shared" si="1"/>
        <v>155.6752421192368</v>
      </c>
      <c r="F113" s="276">
        <f t="shared" si="2"/>
        <v>77.837621059618399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154.47693871604321</v>
      </c>
      <c r="F115" s="278">
        <f>AVERAGE(F108:F113)</f>
        <v>77.238469358021604</v>
      </c>
    </row>
    <row r="116" spans="1:10" ht="27" customHeight="1" x14ac:dyDescent="0.4">
      <c r="A116" s="124" t="s">
        <v>103</v>
      </c>
      <c r="B116" s="156">
        <f>(B115/B114)*(B113/B112)*(B111/B110)*(B109/B108)*B107</f>
        <v>16666.666666666668</v>
      </c>
      <c r="C116" s="234"/>
      <c r="D116" s="258" t="s">
        <v>84</v>
      </c>
      <c r="E116" s="256">
        <f>STDEV(E108:E113)/E115</f>
        <v>1.5486447553048755E-2</v>
      </c>
      <c r="F116" s="235">
        <f>STDEV(F108:F113)/F115</f>
        <v>1.5486447553048755E-2</v>
      </c>
      <c r="I116" s="98"/>
    </row>
    <row r="117" spans="1:10" ht="27" customHeight="1" x14ac:dyDescent="0.4">
      <c r="A117" s="545" t="s">
        <v>78</v>
      </c>
      <c r="B117" s="546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547"/>
      <c r="B118" s="548"/>
      <c r="C118" s="98"/>
      <c r="D118" s="260"/>
      <c r="E118" s="573" t="s">
        <v>123</v>
      </c>
      <c r="F118" s="574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150.67362791460269</v>
      </c>
      <c r="F119" s="279">
        <f>MIN(F108:F113)</f>
        <v>75.336813957301345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157.86344833376421</v>
      </c>
      <c r="F120" s="280">
        <f>MAX(F108:F113)</f>
        <v>78.931724166882105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549" t="str">
        <f>B26</f>
        <v xml:space="preserve">EFAVIRENZ </v>
      </c>
      <c r="D124" s="549"/>
      <c r="E124" s="198" t="s">
        <v>127</v>
      </c>
      <c r="F124" s="198"/>
      <c r="G124" s="281">
        <f>F115</f>
        <v>77.238469358021604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75.336813957301345</v>
      </c>
      <c r="E125" s="209" t="s">
        <v>130</v>
      </c>
      <c r="F125" s="281">
        <f>MAX(F108:F113)</f>
        <v>78.931724166882105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550" t="s">
        <v>26</v>
      </c>
      <c r="C127" s="550"/>
      <c r="E127" s="204" t="s">
        <v>27</v>
      </c>
      <c r="F127" s="239"/>
      <c r="G127" s="550" t="s">
        <v>28</v>
      </c>
      <c r="H127" s="550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1" priority="1" operator="greaterThan">
      <formula>0.02</formula>
    </cfRule>
  </conditionalFormatting>
  <conditionalFormatting sqref="D51">
    <cfRule type="cellIs" dxfId="10" priority="2" operator="greaterThan">
      <formula>0.02</formula>
    </cfRule>
  </conditionalFormatting>
  <conditionalFormatting sqref="G73">
    <cfRule type="cellIs" dxfId="9" priority="3" operator="greaterThan">
      <formula>0.02</formula>
    </cfRule>
  </conditionalFormatting>
  <conditionalFormatting sqref="H73">
    <cfRule type="cellIs" dxfId="8" priority="4" operator="greaterThan">
      <formula>0.02</formula>
    </cfRule>
  </conditionalFormatting>
  <conditionalFormatting sqref="D104">
    <cfRule type="cellIs" dxfId="7" priority="5" operator="greaterThan">
      <formula>0.02</formula>
    </cfRule>
  </conditionalFormatting>
  <conditionalFormatting sqref="I39">
    <cfRule type="cellIs" dxfId="6" priority="6" operator="lessThanOrEqual">
      <formula>0.02</formula>
    </cfRule>
  </conditionalFormatting>
  <conditionalFormatting sqref="I39">
    <cfRule type="cellIs" dxfId="5" priority="7" operator="greaterThan">
      <formula>0.02</formula>
    </cfRule>
  </conditionalFormatting>
  <conditionalFormatting sqref="I92">
    <cfRule type="cellIs" dxfId="4" priority="8" operator="lessThanOrEqual">
      <formula>0.02</formula>
    </cfRule>
  </conditionalFormatting>
  <conditionalFormatting sqref="I92">
    <cfRule type="cellIs" dxfId="3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0"/>
  <sheetViews>
    <sheetView tabSelected="1" view="pageBreakPreview" topLeftCell="A136" zoomScale="55" zoomScaleNormal="75" workbookViewId="0">
      <selection activeCell="D151" sqref="D151"/>
    </sheetView>
  </sheetViews>
  <sheetFormatPr defaultRowHeight="16.5" x14ac:dyDescent="0.3"/>
  <cols>
    <col min="1" max="1" width="55.42578125" style="288" customWidth="1"/>
    <col min="2" max="2" width="33.7109375" style="288" customWidth="1"/>
    <col min="3" max="3" width="42.28515625" style="288" customWidth="1"/>
    <col min="4" max="4" width="30.5703125" style="288" customWidth="1"/>
    <col min="5" max="5" width="39.85546875" style="288" customWidth="1"/>
    <col min="6" max="6" width="30.7109375" style="288" customWidth="1"/>
    <col min="7" max="7" width="36.42578125" style="288" customWidth="1"/>
    <col min="8" max="8" width="41.140625" style="288" customWidth="1"/>
    <col min="9" max="9" width="30.42578125" style="287" customWidth="1"/>
    <col min="10" max="10" width="21.28515625" style="287" customWidth="1"/>
    <col min="11" max="11" width="9.140625" style="287" customWidth="1"/>
    <col min="12" max="16384" width="9.140625" style="289"/>
  </cols>
  <sheetData>
    <row r="1" spans="1:8" ht="15" x14ac:dyDescent="0.3">
      <c r="A1" s="585" t="s">
        <v>45</v>
      </c>
      <c r="B1" s="585"/>
      <c r="C1" s="585"/>
      <c r="D1" s="585"/>
      <c r="E1" s="585"/>
      <c r="F1" s="585"/>
      <c r="G1" s="585"/>
      <c r="H1" s="585"/>
    </row>
    <row r="2" spans="1:8" ht="15" x14ac:dyDescent="0.3">
      <c r="A2" s="585"/>
      <c r="B2" s="585"/>
      <c r="C2" s="585"/>
      <c r="D2" s="585"/>
      <c r="E2" s="585"/>
      <c r="F2" s="585"/>
      <c r="G2" s="585"/>
      <c r="H2" s="585"/>
    </row>
    <row r="3" spans="1:8" ht="15" x14ac:dyDescent="0.3">
      <c r="A3" s="585"/>
      <c r="B3" s="585"/>
      <c r="C3" s="585"/>
      <c r="D3" s="585"/>
      <c r="E3" s="585"/>
      <c r="F3" s="585"/>
      <c r="G3" s="585"/>
      <c r="H3" s="585"/>
    </row>
    <row r="4" spans="1:8" ht="15" x14ac:dyDescent="0.3">
      <c r="A4" s="585"/>
      <c r="B4" s="585"/>
      <c r="C4" s="585"/>
      <c r="D4" s="585"/>
      <c r="E4" s="585"/>
      <c r="F4" s="585"/>
      <c r="G4" s="585"/>
      <c r="H4" s="585"/>
    </row>
    <row r="5" spans="1:8" ht="15" x14ac:dyDescent="0.3">
      <c r="A5" s="585"/>
      <c r="B5" s="585"/>
      <c r="C5" s="585"/>
      <c r="D5" s="585"/>
      <c r="E5" s="585"/>
      <c r="F5" s="585"/>
      <c r="G5" s="585"/>
      <c r="H5" s="585"/>
    </row>
    <row r="6" spans="1:8" ht="15" x14ac:dyDescent="0.3">
      <c r="A6" s="585"/>
      <c r="B6" s="585"/>
      <c r="C6" s="585"/>
      <c r="D6" s="585"/>
      <c r="E6" s="585"/>
      <c r="F6" s="585"/>
      <c r="G6" s="585"/>
      <c r="H6" s="585"/>
    </row>
    <row r="7" spans="1:8" ht="15" x14ac:dyDescent="0.3">
      <c r="A7" s="585"/>
      <c r="B7" s="585"/>
      <c r="C7" s="585"/>
      <c r="D7" s="585"/>
      <c r="E7" s="585"/>
      <c r="F7" s="585"/>
      <c r="G7" s="585"/>
      <c r="H7" s="585"/>
    </row>
    <row r="8" spans="1:8" ht="15" x14ac:dyDescent="0.3">
      <c r="A8" s="586" t="s">
        <v>46</v>
      </c>
      <c r="B8" s="586"/>
      <c r="C8" s="586"/>
      <c r="D8" s="586"/>
      <c r="E8" s="586"/>
      <c r="F8" s="586"/>
      <c r="G8" s="586"/>
      <c r="H8" s="586"/>
    </row>
    <row r="9" spans="1:8" ht="15" x14ac:dyDescent="0.3">
      <c r="A9" s="586"/>
      <c r="B9" s="586"/>
      <c r="C9" s="586"/>
      <c r="D9" s="586"/>
      <c r="E9" s="586"/>
      <c r="F9" s="586"/>
      <c r="G9" s="586"/>
      <c r="H9" s="586"/>
    </row>
    <row r="10" spans="1:8" ht="15" x14ac:dyDescent="0.3">
      <c r="A10" s="586"/>
      <c r="B10" s="586"/>
      <c r="C10" s="586"/>
      <c r="D10" s="586"/>
      <c r="E10" s="586"/>
      <c r="F10" s="586"/>
      <c r="G10" s="586"/>
      <c r="H10" s="586"/>
    </row>
    <row r="11" spans="1:8" ht="15" x14ac:dyDescent="0.3">
      <c r="A11" s="586"/>
      <c r="B11" s="586"/>
      <c r="C11" s="586"/>
      <c r="D11" s="586"/>
      <c r="E11" s="586"/>
      <c r="F11" s="586"/>
      <c r="G11" s="586"/>
      <c r="H11" s="586"/>
    </row>
    <row r="12" spans="1:8" ht="15" x14ac:dyDescent="0.3">
      <c r="A12" s="586"/>
      <c r="B12" s="586"/>
      <c r="C12" s="586"/>
      <c r="D12" s="586"/>
      <c r="E12" s="586"/>
      <c r="F12" s="586"/>
      <c r="G12" s="586"/>
      <c r="H12" s="586"/>
    </row>
    <row r="13" spans="1:8" ht="15" x14ac:dyDescent="0.3">
      <c r="A13" s="586"/>
      <c r="B13" s="586"/>
      <c r="C13" s="586"/>
      <c r="D13" s="586"/>
      <c r="E13" s="586"/>
      <c r="F13" s="586"/>
      <c r="G13" s="586"/>
      <c r="H13" s="586"/>
    </row>
    <row r="14" spans="1:8" ht="15" x14ac:dyDescent="0.3">
      <c r="A14" s="586"/>
      <c r="B14" s="586"/>
      <c r="C14" s="586"/>
      <c r="D14" s="586"/>
      <c r="E14" s="586"/>
      <c r="F14" s="586"/>
      <c r="G14" s="586"/>
      <c r="H14" s="586"/>
    </row>
    <row r="15" spans="1:8" ht="19.5" customHeight="1" thickBot="1" x14ac:dyDescent="0.35"/>
    <row r="16" spans="1:8" ht="19.5" customHeight="1" thickBot="1" x14ac:dyDescent="0.35">
      <c r="A16" s="587" t="s">
        <v>31</v>
      </c>
      <c r="B16" s="588"/>
      <c r="C16" s="588"/>
      <c r="D16" s="588"/>
      <c r="E16" s="588"/>
      <c r="F16" s="588"/>
      <c r="G16" s="588"/>
      <c r="H16" s="589"/>
    </row>
    <row r="17" spans="1:13" ht="20.25" customHeight="1" x14ac:dyDescent="0.3">
      <c r="A17" s="590" t="s">
        <v>47</v>
      </c>
      <c r="B17" s="590"/>
      <c r="C17" s="590"/>
      <c r="D17" s="590"/>
      <c r="E17" s="590"/>
      <c r="F17" s="590"/>
      <c r="G17" s="590"/>
      <c r="H17" s="590"/>
    </row>
    <row r="18" spans="1:13" ht="26.25" customHeight="1" x14ac:dyDescent="0.4">
      <c r="A18" s="290" t="s">
        <v>33</v>
      </c>
      <c r="B18" s="591" t="s">
        <v>5</v>
      </c>
      <c r="C18" s="591"/>
      <c r="D18" s="291"/>
      <c r="E18" s="291"/>
    </row>
    <row r="19" spans="1:13" ht="26.25" customHeight="1" x14ac:dyDescent="0.4">
      <c r="A19" s="290" t="s">
        <v>34</v>
      </c>
      <c r="B19" s="292" t="s">
        <v>7</v>
      </c>
      <c r="C19" s="293">
        <v>11</v>
      </c>
    </row>
    <row r="20" spans="1:13" ht="26.25" customHeight="1" x14ac:dyDescent="0.3">
      <c r="A20" s="290" t="s">
        <v>35</v>
      </c>
      <c r="B20" s="294" t="s">
        <v>9</v>
      </c>
    </row>
    <row r="21" spans="1:13" ht="26.25" customHeight="1" x14ac:dyDescent="0.3">
      <c r="A21" s="290" t="s">
        <v>36</v>
      </c>
      <c r="B21" s="295" t="s">
        <v>11</v>
      </c>
      <c r="C21" s="296"/>
      <c r="D21" s="296"/>
      <c r="E21" s="296"/>
      <c r="F21" s="296"/>
      <c r="G21" s="296"/>
      <c r="H21" s="296"/>
    </row>
    <row r="22" spans="1:13" ht="26.25" customHeight="1" x14ac:dyDescent="0.3">
      <c r="A22" s="290" t="s">
        <v>37</v>
      </c>
      <c r="B22" s="297">
        <v>43271</v>
      </c>
    </row>
    <row r="23" spans="1:13" ht="26.25" customHeight="1" x14ac:dyDescent="0.3">
      <c r="A23" s="290" t="s">
        <v>38</v>
      </c>
      <c r="B23" s="297">
        <v>43272</v>
      </c>
    </row>
    <row r="24" spans="1:13" ht="18.75" x14ac:dyDescent="0.3">
      <c r="A24" s="290"/>
      <c r="B24" s="298"/>
    </row>
    <row r="25" spans="1:13" ht="18.75" x14ac:dyDescent="0.3">
      <c r="A25" s="299" t="s">
        <v>1</v>
      </c>
      <c r="B25" s="298"/>
    </row>
    <row r="26" spans="1:13" ht="26.25" customHeight="1" x14ac:dyDescent="0.3">
      <c r="A26" s="300" t="s">
        <v>4</v>
      </c>
      <c r="B26" s="584" t="s">
        <v>9</v>
      </c>
      <c r="C26" s="584"/>
    </row>
    <row r="27" spans="1:13" ht="26.25" customHeight="1" x14ac:dyDescent="0.3">
      <c r="A27" s="301" t="s">
        <v>48</v>
      </c>
      <c r="B27" s="592" t="s">
        <v>131</v>
      </c>
      <c r="C27" s="592"/>
    </row>
    <row r="28" spans="1:13" ht="27" customHeight="1" thickBot="1" x14ac:dyDescent="0.35">
      <c r="A28" s="301" t="s">
        <v>6</v>
      </c>
      <c r="B28" s="302">
        <v>97.21</v>
      </c>
    </row>
    <row r="29" spans="1:13" s="306" customFormat="1" ht="15.75" customHeight="1" thickBot="1" x14ac:dyDescent="0.3">
      <c r="A29" s="301" t="s">
        <v>49</v>
      </c>
      <c r="B29" s="303">
        <v>0</v>
      </c>
      <c r="C29" s="593" t="s">
        <v>133</v>
      </c>
      <c r="D29" s="594"/>
      <c r="E29" s="594"/>
      <c r="F29" s="594"/>
      <c r="G29" s="595"/>
      <c r="H29" s="304"/>
      <c r="I29" s="305"/>
      <c r="J29" s="305"/>
      <c r="K29" s="305"/>
    </row>
    <row r="30" spans="1:13" s="306" customFormat="1" ht="19.5" customHeight="1" thickBot="1" x14ac:dyDescent="0.3">
      <c r="A30" s="301" t="s">
        <v>51</v>
      </c>
      <c r="B30" s="307">
        <f>B28-B29</f>
        <v>97.21</v>
      </c>
      <c r="C30" s="308"/>
      <c r="D30" s="308"/>
      <c r="E30" s="308"/>
      <c r="F30" s="308"/>
      <c r="G30" s="309"/>
      <c r="H30" s="304"/>
      <c r="I30" s="305"/>
      <c r="J30" s="305"/>
      <c r="K30" s="305"/>
    </row>
    <row r="31" spans="1:13" s="306" customFormat="1" ht="27" customHeight="1" thickBot="1" x14ac:dyDescent="0.3">
      <c r="A31" s="301" t="s">
        <v>52</v>
      </c>
      <c r="B31" s="310">
        <v>1</v>
      </c>
      <c r="C31" s="596" t="s">
        <v>53</v>
      </c>
      <c r="D31" s="597"/>
      <c r="E31" s="597"/>
      <c r="F31" s="597"/>
      <c r="G31" s="597"/>
      <c r="H31" s="598"/>
      <c r="I31" s="305"/>
      <c r="J31" s="305"/>
      <c r="K31" s="305"/>
    </row>
    <row r="32" spans="1:13" s="306" customFormat="1" ht="27" customHeight="1" thickBot="1" x14ac:dyDescent="0.3">
      <c r="A32" s="301" t="s">
        <v>54</v>
      </c>
      <c r="B32" s="310">
        <v>1</v>
      </c>
      <c r="C32" s="596" t="s">
        <v>55</v>
      </c>
      <c r="D32" s="597"/>
      <c r="E32" s="597"/>
      <c r="F32" s="597"/>
      <c r="G32" s="597"/>
      <c r="H32" s="598"/>
      <c r="I32" s="305"/>
      <c r="J32" s="305"/>
      <c r="K32" s="311"/>
      <c r="L32" s="311"/>
      <c r="M32" s="312"/>
    </row>
    <row r="33" spans="1:13" s="306" customFormat="1" ht="17.25" customHeight="1" x14ac:dyDescent="0.25">
      <c r="A33" s="301"/>
      <c r="B33" s="313"/>
      <c r="C33" s="314"/>
      <c r="D33" s="314"/>
      <c r="E33" s="314"/>
      <c r="F33" s="314"/>
      <c r="G33" s="314"/>
      <c r="H33" s="314"/>
      <c r="I33" s="305"/>
      <c r="J33" s="305"/>
      <c r="K33" s="311"/>
      <c r="L33" s="311"/>
      <c r="M33" s="312"/>
    </row>
    <row r="34" spans="1:13" s="306" customFormat="1" ht="18.75" x14ac:dyDescent="0.25">
      <c r="A34" s="301" t="s">
        <v>56</v>
      </c>
      <c r="B34" s="315">
        <f>B31/B32</f>
        <v>1</v>
      </c>
      <c r="C34" s="293" t="s">
        <v>57</v>
      </c>
      <c r="D34" s="293"/>
      <c r="E34" s="293"/>
      <c r="F34" s="293"/>
      <c r="G34" s="293"/>
      <c r="H34" s="304"/>
      <c r="I34" s="305"/>
      <c r="J34" s="305"/>
      <c r="K34" s="311"/>
      <c r="L34" s="311"/>
      <c r="M34" s="312"/>
    </row>
    <row r="35" spans="1:13" s="306" customFormat="1" ht="19.5" customHeight="1" thickBot="1" x14ac:dyDescent="0.3">
      <c r="A35" s="301"/>
      <c r="B35" s="307"/>
      <c r="C35" s="304"/>
      <c r="D35" s="304"/>
      <c r="E35" s="304"/>
      <c r="F35" s="304"/>
      <c r="G35" s="293"/>
      <c r="H35" s="304"/>
      <c r="I35" s="305"/>
      <c r="J35" s="305"/>
      <c r="K35" s="311"/>
      <c r="L35" s="311"/>
      <c r="M35" s="312"/>
    </row>
    <row r="36" spans="1:13" s="306" customFormat="1" ht="27" customHeight="1" thickBot="1" x14ac:dyDescent="0.3">
      <c r="A36" s="316" t="s">
        <v>134</v>
      </c>
      <c r="B36" s="317">
        <v>50</v>
      </c>
      <c r="C36" s="293"/>
      <c r="D36" s="599" t="s">
        <v>59</v>
      </c>
      <c r="E36" s="600"/>
      <c r="F36" s="599" t="s">
        <v>60</v>
      </c>
      <c r="G36" s="601"/>
      <c r="H36" s="304"/>
      <c r="I36" s="305"/>
      <c r="J36" s="305"/>
      <c r="K36" s="311"/>
      <c r="L36" s="311"/>
      <c r="M36" s="312"/>
    </row>
    <row r="37" spans="1:13" s="306" customFormat="1" ht="26.25" customHeight="1" x14ac:dyDescent="0.25">
      <c r="A37" s="318" t="s">
        <v>135</v>
      </c>
      <c r="B37" s="319">
        <v>5</v>
      </c>
      <c r="C37" s="320" t="s">
        <v>62</v>
      </c>
      <c r="D37" s="321" t="s">
        <v>63</v>
      </c>
      <c r="E37" s="322" t="s">
        <v>64</v>
      </c>
      <c r="F37" s="321" t="s">
        <v>63</v>
      </c>
      <c r="G37" s="323" t="s">
        <v>64</v>
      </c>
      <c r="H37" s="304"/>
      <c r="I37" s="305"/>
      <c r="J37" s="305"/>
      <c r="K37" s="311"/>
      <c r="L37" s="311"/>
      <c r="M37" s="312"/>
    </row>
    <row r="38" spans="1:13" s="306" customFormat="1" ht="26.25" customHeight="1" x14ac:dyDescent="0.25">
      <c r="A38" s="318" t="s">
        <v>136</v>
      </c>
      <c r="B38" s="319">
        <v>10</v>
      </c>
      <c r="C38" s="324">
        <v>1</v>
      </c>
      <c r="D38" s="325">
        <v>77574574</v>
      </c>
      <c r="E38" s="326">
        <f>IF(ISBLANK(D38),"-",$D$48/$D$45*D38)</f>
        <v>74464406.714040235</v>
      </c>
      <c r="F38" s="325">
        <v>77774927</v>
      </c>
      <c r="G38" s="327">
        <f>IF(ISBLANK(F38),"-",$D$48/$F$45*F38)</f>
        <v>75153464.557434216</v>
      </c>
      <c r="H38" s="304"/>
      <c r="I38" s="305"/>
      <c r="J38" s="305"/>
      <c r="K38" s="311"/>
      <c r="L38" s="311"/>
      <c r="M38" s="312"/>
    </row>
    <row r="39" spans="1:13" s="306" customFormat="1" ht="26.25" customHeight="1" x14ac:dyDescent="0.25">
      <c r="A39" s="318" t="s">
        <v>137</v>
      </c>
      <c r="B39" s="319">
        <v>1</v>
      </c>
      <c r="C39" s="328">
        <v>2</v>
      </c>
      <c r="D39" s="329">
        <v>77429610</v>
      </c>
      <c r="E39" s="330">
        <f>IF(ISBLANK(D39),"-",$D$48/$D$45*D39)</f>
        <v>74325254.699426606</v>
      </c>
      <c r="F39" s="329">
        <v>78583794</v>
      </c>
      <c r="G39" s="331">
        <f>IF(ISBLANK(F39),"-",$D$48/$F$45*F39)</f>
        <v>75935068.086501867</v>
      </c>
      <c r="H39" s="304"/>
      <c r="I39" s="305"/>
      <c r="J39" s="305"/>
      <c r="K39" s="311"/>
      <c r="L39" s="311"/>
      <c r="M39" s="312"/>
    </row>
    <row r="40" spans="1:13" ht="26.25" customHeight="1" x14ac:dyDescent="0.3">
      <c r="A40" s="318" t="s">
        <v>138</v>
      </c>
      <c r="B40" s="319">
        <v>1</v>
      </c>
      <c r="C40" s="328">
        <v>3</v>
      </c>
      <c r="D40" s="329">
        <v>76825178</v>
      </c>
      <c r="E40" s="330">
        <f>IF(ISBLANK(D40),"-",$D$48/$D$45*D40)</f>
        <v>73745055.957001269</v>
      </c>
      <c r="F40" s="329">
        <v>77581086</v>
      </c>
      <c r="G40" s="331">
        <f>IF(ISBLANK(F40),"-",$D$48/$F$45*F40)</f>
        <v>74966157.114210546</v>
      </c>
      <c r="K40" s="311"/>
      <c r="L40" s="311"/>
      <c r="M40" s="332"/>
    </row>
    <row r="41" spans="1:13" ht="26.25" customHeight="1" x14ac:dyDescent="0.3">
      <c r="A41" s="318" t="s">
        <v>139</v>
      </c>
      <c r="B41" s="319">
        <v>1</v>
      </c>
      <c r="C41" s="333">
        <v>4</v>
      </c>
      <c r="D41" s="334"/>
      <c r="E41" s="335" t="str">
        <f>IF(ISBLANK(D41),"-",$D$48/$D$45*D41)</f>
        <v>-</v>
      </c>
      <c r="F41" s="334"/>
      <c r="G41" s="336" t="str">
        <f>IF(ISBLANK(F41),"-",$D$48/$F$45*F41)</f>
        <v>-</v>
      </c>
      <c r="K41" s="311"/>
      <c r="L41" s="311"/>
      <c r="M41" s="332"/>
    </row>
    <row r="42" spans="1:13" ht="27" customHeight="1" thickBot="1" x14ac:dyDescent="0.35">
      <c r="A42" s="318" t="s">
        <v>140</v>
      </c>
      <c r="B42" s="319">
        <v>1</v>
      </c>
      <c r="C42" s="301" t="s">
        <v>71</v>
      </c>
      <c r="D42" s="337">
        <f>AVERAGE(D38:D41)</f>
        <v>77276454</v>
      </c>
      <c r="E42" s="338">
        <f>AVERAGE(E38:E41)</f>
        <v>74178239.123489365</v>
      </c>
      <c r="F42" s="339">
        <f>AVERAGE(F38:F41)</f>
        <v>77979935.666666672</v>
      </c>
      <c r="G42" s="340">
        <f>AVERAGE(G38:G41)</f>
        <v>75351563.252715543</v>
      </c>
      <c r="H42" s="341"/>
    </row>
    <row r="43" spans="1:13" ht="26.25" customHeight="1" x14ac:dyDescent="0.3">
      <c r="A43" s="318" t="s">
        <v>141</v>
      </c>
      <c r="B43" s="319">
        <v>1</v>
      </c>
      <c r="C43" s="342" t="s">
        <v>73</v>
      </c>
      <c r="D43" s="343">
        <v>25.72</v>
      </c>
      <c r="E43" s="293"/>
      <c r="F43" s="344">
        <v>25.55</v>
      </c>
      <c r="H43" s="341"/>
    </row>
    <row r="44" spans="1:13" ht="26.25" customHeight="1" x14ac:dyDescent="0.3">
      <c r="A44" s="318" t="s">
        <v>142</v>
      </c>
      <c r="B44" s="319">
        <v>1</v>
      </c>
      <c r="C44" s="345" t="s">
        <v>75</v>
      </c>
      <c r="D44" s="346">
        <f>D43*$B$34</f>
        <v>25.72</v>
      </c>
      <c r="E44" s="328"/>
      <c r="F44" s="347">
        <f>F43*$B$34</f>
        <v>25.55</v>
      </c>
      <c r="H44" s="341"/>
    </row>
    <row r="45" spans="1:13" ht="19.5" customHeight="1" thickBot="1" x14ac:dyDescent="0.35">
      <c r="A45" s="318" t="s">
        <v>76</v>
      </c>
      <c r="B45" s="348">
        <f>(B44/B43)*(B42/B41)*(B40/B39)*(B38/B37)*B36</f>
        <v>100</v>
      </c>
      <c r="C45" s="345" t="s">
        <v>77</v>
      </c>
      <c r="D45" s="349">
        <f>D44*$B$30/100</f>
        <v>25.002412</v>
      </c>
      <c r="E45" s="350"/>
      <c r="F45" s="351">
        <f>F44*$B$30/100</f>
        <v>24.837154999999999</v>
      </c>
      <c r="H45" s="341"/>
    </row>
    <row r="46" spans="1:13" ht="19.5" customHeight="1" thickBot="1" x14ac:dyDescent="0.35">
      <c r="A46" s="602" t="s">
        <v>78</v>
      </c>
      <c r="B46" s="603"/>
      <c r="C46" s="345" t="s">
        <v>79</v>
      </c>
      <c r="D46" s="346">
        <f>D45/$B$45</f>
        <v>0.25002412000000002</v>
      </c>
      <c r="E46" s="350"/>
      <c r="F46" s="352">
        <f>F45/$B$45</f>
        <v>0.24837155</v>
      </c>
      <c r="H46" s="341"/>
    </row>
    <row r="47" spans="1:13" ht="27" customHeight="1" thickBot="1" x14ac:dyDescent="0.35">
      <c r="A47" s="604"/>
      <c r="B47" s="605"/>
      <c r="C47" s="353" t="s">
        <v>143</v>
      </c>
      <c r="D47" s="354">
        <v>0.24</v>
      </c>
      <c r="F47" s="355"/>
      <c r="H47" s="341"/>
    </row>
    <row r="48" spans="1:13" ht="18.75" x14ac:dyDescent="0.3">
      <c r="C48" s="356" t="s">
        <v>81</v>
      </c>
      <c r="D48" s="349">
        <f>D47*$B$45</f>
        <v>24</v>
      </c>
      <c r="F48" s="355"/>
      <c r="H48" s="341"/>
    </row>
    <row r="49" spans="1:11" ht="19.5" customHeight="1" thickBot="1" x14ac:dyDescent="0.35">
      <c r="C49" s="357" t="s">
        <v>82</v>
      </c>
      <c r="D49" s="358">
        <f>D48/B34</f>
        <v>24</v>
      </c>
      <c r="F49" s="330"/>
      <c r="H49" s="341"/>
    </row>
    <row r="50" spans="1:11" ht="18.75" x14ac:dyDescent="0.3">
      <c r="C50" s="359" t="s">
        <v>83</v>
      </c>
      <c r="D50" s="360">
        <f>AVERAGE(E38:E41,G38:G41)</f>
        <v>74764901.188102454</v>
      </c>
      <c r="F50" s="330"/>
      <c r="H50" s="341"/>
    </row>
    <row r="51" spans="1:11" ht="18.75" x14ac:dyDescent="0.3">
      <c r="C51" s="361" t="s">
        <v>84</v>
      </c>
      <c r="D51" s="362">
        <f>STDEV(E38:E41,G38:G41)/D50</f>
        <v>1.0158941533290618E-2</v>
      </c>
      <c r="F51" s="330"/>
    </row>
    <row r="52" spans="1:11" ht="19.5" customHeight="1" thickBot="1" x14ac:dyDescent="0.35">
      <c r="C52" s="363" t="s">
        <v>20</v>
      </c>
      <c r="D52" s="364">
        <f>COUNT(E38:E41,G38:G41)</f>
        <v>6</v>
      </c>
      <c r="F52" s="330"/>
    </row>
    <row r="54" spans="1:11" ht="18.75" x14ac:dyDescent="0.3">
      <c r="A54" s="365" t="s">
        <v>1</v>
      </c>
      <c r="B54" s="366" t="s">
        <v>85</v>
      </c>
    </row>
    <row r="55" spans="1:11" ht="18.75" x14ac:dyDescent="0.3">
      <c r="A55" s="293" t="s">
        <v>86</v>
      </c>
      <c r="B55" s="367" t="str">
        <f>B21</f>
        <v>Each film coated tablet contains: Efavirenz USP 200 mg.</v>
      </c>
    </row>
    <row r="56" spans="1:11" ht="26.25" customHeight="1" x14ac:dyDescent="0.3">
      <c r="A56" s="367" t="s">
        <v>87</v>
      </c>
      <c r="B56" s="302">
        <v>200</v>
      </c>
      <c r="C56" s="293" t="str">
        <f>B20</f>
        <v xml:space="preserve">EFAVIRENZ </v>
      </c>
      <c r="H56" s="328"/>
    </row>
    <row r="57" spans="1:11" ht="18.75" x14ac:dyDescent="0.3">
      <c r="A57" s="367" t="s">
        <v>88</v>
      </c>
      <c r="B57" s="368">
        <f>[1]Uniformity!C46</f>
        <v>352.59300000000007</v>
      </c>
      <c r="H57" s="328"/>
    </row>
    <row r="58" spans="1:11" ht="19.5" customHeight="1" thickBot="1" x14ac:dyDescent="0.35">
      <c r="H58" s="328"/>
    </row>
    <row r="59" spans="1:11" s="306" customFormat="1" ht="27" customHeight="1" thickBot="1" x14ac:dyDescent="0.3">
      <c r="A59" s="316" t="s">
        <v>144</v>
      </c>
      <c r="B59" s="317">
        <v>100</v>
      </c>
      <c r="C59" s="293"/>
      <c r="D59" s="369" t="s">
        <v>90</v>
      </c>
      <c r="E59" s="370" t="s">
        <v>62</v>
      </c>
      <c r="F59" s="370" t="s">
        <v>63</v>
      </c>
      <c r="G59" s="370" t="s">
        <v>91</v>
      </c>
      <c r="H59" s="371" t="s">
        <v>92</v>
      </c>
      <c r="K59" s="305"/>
    </row>
    <row r="60" spans="1:11" s="306" customFormat="1" ht="26.25" customHeight="1" x14ac:dyDescent="0.25">
      <c r="A60" s="318" t="s">
        <v>145</v>
      </c>
      <c r="B60" s="319">
        <v>5</v>
      </c>
      <c r="C60" s="606" t="s">
        <v>94</v>
      </c>
      <c r="D60" s="609">
        <v>423.38</v>
      </c>
      <c r="E60" s="372">
        <v>1</v>
      </c>
      <c r="F60" s="373">
        <v>71008373</v>
      </c>
      <c r="G60" s="374">
        <f>IF(ISBLANK(F60),"-",(F60/$D$50*$D$47*$B$68)*($B$57/$D$60))</f>
        <v>189.83067297065637</v>
      </c>
      <c r="H60" s="375">
        <f t="shared" ref="H60:H71" si="0">IF(ISBLANK(F60),"-",G60/$B$56)</f>
        <v>0.94915336485328183</v>
      </c>
      <c r="K60" s="305"/>
    </row>
    <row r="61" spans="1:11" s="306" customFormat="1" ht="26.25" customHeight="1" x14ac:dyDescent="0.25">
      <c r="A61" s="318" t="s">
        <v>146</v>
      </c>
      <c r="B61" s="319">
        <v>50</v>
      </c>
      <c r="C61" s="607"/>
      <c r="D61" s="610"/>
      <c r="E61" s="376">
        <v>2</v>
      </c>
      <c r="F61" s="377">
        <v>70175518</v>
      </c>
      <c r="G61" s="378">
        <f>IF(ISBLANK(F61),"-",(F61/$D$50*$D$47*$B$68)*($B$57/$D$60))</f>
        <v>187.60415490725876</v>
      </c>
      <c r="H61" s="379">
        <f t="shared" si="0"/>
        <v>0.93802077453629384</v>
      </c>
      <c r="K61" s="305"/>
    </row>
    <row r="62" spans="1:11" s="306" customFormat="1" ht="26.25" customHeight="1" x14ac:dyDescent="0.25">
      <c r="A62" s="318" t="s">
        <v>147</v>
      </c>
      <c r="B62" s="319">
        <v>1</v>
      </c>
      <c r="C62" s="607"/>
      <c r="D62" s="610"/>
      <c r="E62" s="376">
        <v>3</v>
      </c>
      <c r="F62" s="377">
        <v>70169002</v>
      </c>
      <c r="G62" s="378">
        <f>IF(ISBLANK(F62),"-",(F62/$D$50*$D$47*$B$68)*($B$57/$D$60))</f>
        <v>187.5867353183734</v>
      </c>
      <c r="H62" s="379">
        <f t="shared" si="0"/>
        <v>0.93793367659186699</v>
      </c>
      <c r="K62" s="305"/>
    </row>
    <row r="63" spans="1:11" ht="27" customHeight="1" thickBot="1" x14ac:dyDescent="0.35">
      <c r="A63" s="318" t="s">
        <v>148</v>
      </c>
      <c r="B63" s="319">
        <v>1</v>
      </c>
      <c r="C63" s="608"/>
      <c r="D63" s="611"/>
      <c r="E63" s="380">
        <v>4</v>
      </c>
      <c r="F63" s="381"/>
      <c r="G63" s="378" t="str">
        <f>IF(ISBLANK(F63),"-",(F63/$D$50*$D$47*$B$68)*($B$57/$D$60))</f>
        <v>-</v>
      </c>
      <c r="H63" s="379" t="str">
        <f t="shared" si="0"/>
        <v>-</v>
      </c>
    </row>
    <row r="64" spans="1:11" ht="26.25" customHeight="1" x14ac:dyDescent="0.3">
      <c r="A64" s="318" t="s">
        <v>149</v>
      </c>
      <c r="B64" s="319">
        <v>1</v>
      </c>
      <c r="C64" s="606" t="s">
        <v>99</v>
      </c>
      <c r="D64" s="609">
        <v>423.03</v>
      </c>
      <c r="E64" s="372">
        <v>1</v>
      </c>
      <c r="F64" s="373">
        <v>70681494</v>
      </c>
      <c r="G64" s="382">
        <f>IF(ISBLANK(F64),"-",(F64/$D$50*$D$47*$B$68)*($B$57/$D$64))</f>
        <v>189.11314512886673</v>
      </c>
      <c r="H64" s="383">
        <f t="shared" si="0"/>
        <v>0.94556572564433372</v>
      </c>
    </row>
    <row r="65" spans="1:8" ht="26.25" customHeight="1" x14ac:dyDescent="0.3">
      <c r="A65" s="318" t="s">
        <v>150</v>
      </c>
      <c r="B65" s="319">
        <v>1</v>
      </c>
      <c r="C65" s="607"/>
      <c r="D65" s="610"/>
      <c r="E65" s="376">
        <v>2</v>
      </c>
      <c r="F65" s="377">
        <v>70046870</v>
      </c>
      <c r="G65" s="384">
        <f>IF(ISBLANK(F65),"-",(F65/$D$50*$D$47*$B$68)*($B$57/$D$64))</f>
        <v>187.41516544815622</v>
      </c>
      <c r="H65" s="385">
        <f t="shared" si="0"/>
        <v>0.93707582724078109</v>
      </c>
    </row>
    <row r="66" spans="1:8" ht="26.25" customHeight="1" x14ac:dyDescent="0.3">
      <c r="A66" s="318" t="s">
        <v>151</v>
      </c>
      <c r="B66" s="319">
        <v>1</v>
      </c>
      <c r="C66" s="607"/>
      <c r="D66" s="610"/>
      <c r="E66" s="376">
        <v>3</v>
      </c>
      <c r="F66" s="377">
        <v>70789060</v>
      </c>
      <c r="G66" s="384">
        <f>IF(ISBLANK(F66),"-",(F66/$D$50*$D$47*$B$68)*($B$57/$D$64))</f>
        <v>189.40094527877491</v>
      </c>
      <c r="H66" s="385">
        <f t="shared" si="0"/>
        <v>0.94700472639387456</v>
      </c>
    </row>
    <row r="67" spans="1:8" ht="27" customHeight="1" thickBot="1" x14ac:dyDescent="0.35">
      <c r="A67" s="318" t="s">
        <v>152</v>
      </c>
      <c r="B67" s="319">
        <v>1</v>
      </c>
      <c r="C67" s="608"/>
      <c r="D67" s="611"/>
      <c r="E67" s="380">
        <v>4</v>
      </c>
      <c r="F67" s="381"/>
      <c r="G67" s="386" t="str">
        <f>IF(ISBLANK(F67),"-",(F67/$D$50*$D$47*$B$68)*($B$57/$D$64))</f>
        <v>-</v>
      </c>
      <c r="H67" s="387" t="str">
        <f t="shared" si="0"/>
        <v>-</v>
      </c>
    </row>
    <row r="68" spans="1:8" ht="21.75" customHeight="1" x14ac:dyDescent="0.3">
      <c r="A68" s="318" t="s">
        <v>103</v>
      </c>
      <c r="B68" s="348">
        <f>(B67/B66)*(B65/B64)*(B63/B62)*(B61/B60)*B59</f>
        <v>1000</v>
      </c>
      <c r="C68" s="606" t="s">
        <v>104</v>
      </c>
      <c r="D68" s="609">
        <v>426.2</v>
      </c>
      <c r="E68" s="372">
        <v>1</v>
      </c>
      <c r="F68" s="373"/>
      <c r="G68" s="382" t="str">
        <f>IF(ISBLANK(F68),"-",(F68/$D$50*$D$47*$B$68)*($B$57/$D$68))</f>
        <v>-</v>
      </c>
      <c r="H68" s="379" t="str">
        <f t="shared" si="0"/>
        <v>-</v>
      </c>
    </row>
    <row r="69" spans="1:8" ht="21.75" customHeight="1" thickBot="1" x14ac:dyDescent="0.35">
      <c r="A69" s="388" t="s">
        <v>153</v>
      </c>
      <c r="B69" s="389">
        <f>D47*B68/B56*B57</f>
        <v>423.11160000000007</v>
      </c>
      <c r="C69" s="607"/>
      <c r="D69" s="610"/>
      <c r="E69" s="376">
        <v>2</v>
      </c>
      <c r="F69" s="377"/>
      <c r="G69" s="384" t="str">
        <f>IF(ISBLANK(F69),"-",(F69/$D$50*$D$47*$B$68)*($B$57/$D$68))</f>
        <v>-</v>
      </c>
      <c r="H69" s="379" t="str">
        <f t="shared" si="0"/>
        <v>-</v>
      </c>
    </row>
    <row r="70" spans="1:8" ht="22.5" customHeight="1" x14ac:dyDescent="0.3">
      <c r="A70" s="602" t="s">
        <v>78</v>
      </c>
      <c r="B70" s="603"/>
      <c r="C70" s="607"/>
      <c r="D70" s="610"/>
      <c r="E70" s="376">
        <v>3</v>
      </c>
      <c r="F70" s="377"/>
      <c r="G70" s="384" t="str">
        <f>IF(ISBLANK(F70),"-",(F70/$D$50*$D$47*$B$68)*($B$57/$D$68))</f>
        <v>-</v>
      </c>
      <c r="H70" s="379" t="str">
        <f t="shared" si="0"/>
        <v>-</v>
      </c>
    </row>
    <row r="71" spans="1:8" ht="21.75" customHeight="1" thickBot="1" x14ac:dyDescent="0.35">
      <c r="A71" s="604"/>
      <c r="B71" s="605"/>
      <c r="C71" s="612"/>
      <c r="D71" s="611"/>
      <c r="E71" s="380">
        <v>4</v>
      </c>
      <c r="F71" s="381"/>
      <c r="G71" s="386" t="str">
        <f>IF(ISBLANK(F71),"-",(F71/$D$50*$D$47*$B$68)*($B$57/$D$68))</f>
        <v>-</v>
      </c>
      <c r="H71" s="390" t="str">
        <f t="shared" si="0"/>
        <v>-</v>
      </c>
    </row>
    <row r="72" spans="1:8" ht="26.25" customHeight="1" x14ac:dyDescent="0.3">
      <c r="A72" s="328"/>
      <c r="B72" s="328"/>
      <c r="C72" s="328"/>
      <c r="D72" s="328"/>
      <c r="E72" s="328"/>
      <c r="F72" s="328"/>
      <c r="G72" s="391" t="s">
        <v>71</v>
      </c>
      <c r="H72" s="392">
        <f>AVERAGE(H60:H71)</f>
        <v>0.94245901587673864</v>
      </c>
    </row>
    <row r="73" spans="1:8" ht="26.25" customHeight="1" x14ac:dyDescent="0.3">
      <c r="C73" s="328"/>
      <c r="D73" s="328"/>
      <c r="E73" s="328"/>
      <c r="F73" s="328"/>
      <c r="G73" s="361" t="s">
        <v>84</v>
      </c>
      <c r="H73" s="393">
        <f>STDEV(H60:H71)/H72</f>
        <v>5.6998427587862076E-3</v>
      </c>
    </row>
    <row r="74" spans="1:8" ht="27" customHeight="1" thickBot="1" x14ac:dyDescent="0.35">
      <c r="A74" s="328"/>
      <c r="B74" s="328"/>
      <c r="C74" s="328"/>
      <c r="D74" s="328"/>
      <c r="E74" s="350"/>
      <c r="F74" s="328"/>
      <c r="G74" s="363" t="s">
        <v>20</v>
      </c>
      <c r="H74" s="394">
        <f>COUNT(H60:H71)</f>
        <v>6</v>
      </c>
    </row>
    <row r="75" spans="1:8" ht="18.75" x14ac:dyDescent="0.3">
      <c r="A75" s="328"/>
      <c r="B75" s="328"/>
      <c r="C75" s="328"/>
      <c r="D75" s="328"/>
      <c r="E75" s="350"/>
      <c r="F75" s="328"/>
      <c r="G75" s="301"/>
      <c r="H75" s="307"/>
    </row>
    <row r="76" spans="1:8" ht="26.25" customHeight="1" x14ac:dyDescent="0.3">
      <c r="A76" s="300" t="s">
        <v>154</v>
      </c>
      <c r="B76" s="301" t="s">
        <v>107</v>
      </c>
      <c r="C76" s="607" t="str">
        <f>B20</f>
        <v xml:space="preserve">EFAVIRENZ </v>
      </c>
      <c r="D76" s="607"/>
      <c r="E76" s="293" t="s">
        <v>108</v>
      </c>
      <c r="F76" s="293"/>
      <c r="G76" s="395">
        <f>H72</f>
        <v>0.94245901587673864</v>
      </c>
      <c r="H76" s="307"/>
    </row>
    <row r="77" spans="1:8" ht="18.75" x14ac:dyDescent="0.3">
      <c r="A77" s="299" t="s">
        <v>109</v>
      </c>
      <c r="B77" s="299" t="s">
        <v>110</v>
      </c>
    </row>
    <row r="78" spans="1:8" ht="18.75" x14ac:dyDescent="0.3">
      <c r="A78" s="299"/>
      <c r="B78" s="299"/>
    </row>
    <row r="79" spans="1:8" ht="26.25" customHeight="1" x14ac:dyDescent="0.3">
      <c r="A79" s="300" t="s">
        <v>4</v>
      </c>
      <c r="B79" s="584" t="s">
        <v>155</v>
      </c>
      <c r="C79" s="584"/>
    </row>
    <row r="80" spans="1:8" ht="26.25" customHeight="1" x14ac:dyDescent="0.3">
      <c r="A80" s="301" t="s">
        <v>48</v>
      </c>
      <c r="B80" s="592" t="s">
        <v>131</v>
      </c>
      <c r="C80" s="592"/>
    </row>
    <row r="81" spans="1:11" ht="27" customHeight="1" thickBot="1" x14ac:dyDescent="0.35">
      <c r="A81" s="301" t="s">
        <v>6</v>
      </c>
      <c r="B81" s="302">
        <v>97.21</v>
      </c>
    </row>
    <row r="82" spans="1:11" s="306" customFormat="1" ht="27" customHeight="1" thickBot="1" x14ac:dyDescent="0.3">
      <c r="A82" s="301" t="s">
        <v>49</v>
      </c>
      <c r="B82" s="302">
        <f>B29</f>
        <v>0</v>
      </c>
      <c r="C82" s="593" t="s">
        <v>133</v>
      </c>
      <c r="D82" s="594"/>
      <c r="E82" s="594"/>
      <c r="F82" s="594"/>
      <c r="G82" s="595"/>
      <c r="H82" s="304"/>
      <c r="I82" s="305"/>
      <c r="J82" s="305"/>
      <c r="K82" s="305"/>
    </row>
    <row r="83" spans="1:11" s="306" customFormat="1" ht="19.5" customHeight="1" thickBot="1" x14ac:dyDescent="0.3">
      <c r="A83" s="301" t="s">
        <v>51</v>
      </c>
      <c r="B83" s="307">
        <f>B81-B82</f>
        <v>97.21</v>
      </c>
      <c r="C83" s="308"/>
      <c r="D83" s="308"/>
      <c r="E83" s="308"/>
      <c r="F83" s="308"/>
      <c r="G83" s="309"/>
      <c r="H83" s="304"/>
      <c r="I83" s="305"/>
      <c r="J83" s="305"/>
      <c r="K83" s="305"/>
    </row>
    <row r="84" spans="1:11" s="306" customFormat="1" ht="27" customHeight="1" thickBot="1" x14ac:dyDescent="0.3">
      <c r="A84" s="301" t="s">
        <v>52</v>
      </c>
      <c r="B84" s="310">
        <v>1</v>
      </c>
      <c r="C84" s="596" t="s">
        <v>53</v>
      </c>
      <c r="D84" s="597"/>
      <c r="E84" s="597"/>
      <c r="F84" s="597"/>
      <c r="G84" s="597"/>
      <c r="H84" s="598"/>
      <c r="I84" s="305"/>
      <c r="J84" s="305"/>
      <c r="K84" s="305"/>
    </row>
    <row r="85" spans="1:11" s="306" customFormat="1" ht="27" customHeight="1" thickBot="1" x14ac:dyDescent="0.3">
      <c r="A85" s="301" t="s">
        <v>54</v>
      </c>
      <c r="B85" s="310">
        <v>1</v>
      </c>
      <c r="C85" s="596" t="s">
        <v>55</v>
      </c>
      <c r="D85" s="597"/>
      <c r="E85" s="597"/>
      <c r="F85" s="597"/>
      <c r="G85" s="597"/>
      <c r="H85" s="598"/>
      <c r="I85" s="305"/>
      <c r="J85" s="305"/>
      <c r="K85" s="305"/>
    </row>
    <row r="86" spans="1:11" s="306" customFormat="1" ht="18.75" x14ac:dyDescent="0.25">
      <c r="A86" s="301"/>
      <c r="B86" s="313"/>
      <c r="C86" s="314"/>
      <c r="D86" s="314"/>
      <c r="E86" s="314"/>
      <c r="F86" s="314"/>
      <c r="G86" s="314"/>
      <c r="H86" s="314"/>
      <c r="I86" s="305"/>
      <c r="J86" s="305"/>
      <c r="K86" s="305"/>
    </row>
    <row r="87" spans="1:11" ht="18.75" x14ac:dyDescent="0.3">
      <c r="A87" s="301" t="s">
        <v>56</v>
      </c>
      <c r="B87" s="315">
        <f>B84/B85</f>
        <v>1</v>
      </c>
      <c r="C87" s="293" t="s">
        <v>57</v>
      </c>
      <c r="H87" s="304"/>
    </row>
    <row r="88" spans="1:11" ht="19.5" customHeight="1" thickBot="1" x14ac:dyDescent="0.35">
      <c r="A88" s="301"/>
      <c r="B88" s="315"/>
      <c r="H88" s="304"/>
    </row>
    <row r="89" spans="1:11" ht="27" customHeight="1" thickBot="1" x14ac:dyDescent="0.35">
      <c r="A89" s="316" t="s">
        <v>134</v>
      </c>
      <c r="B89" s="317">
        <v>50</v>
      </c>
      <c r="D89" s="396" t="s">
        <v>59</v>
      </c>
      <c r="E89" s="397"/>
      <c r="F89" s="599" t="s">
        <v>60</v>
      </c>
      <c r="G89" s="601"/>
    </row>
    <row r="90" spans="1:11" ht="26.25" customHeight="1" x14ac:dyDescent="0.3">
      <c r="A90" s="318" t="s">
        <v>135</v>
      </c>
      <c r="B90" s="319">
        <v>3</v>
      </c>
      <c r="C90" s="320" t="s">
        <v>62</v>
      </c>
      <c r="D90" s="398" t="s">
        <v>63</v>
      </c>
      <c r="E90" s="322" t="s">
        <v>64</v>
      </c>
      <c r="F90" s="398" t="s">
        <v>63</v>
      </c>
      <c r="G90" s="323" t="s">
        <v>64</v>
      </c>
    </row>
    <row r="91" spans="1:11" ht="26.25" customHeight="1" x14ac:dyDescent="0.3">
      <c r="A91" s="318" t="s">
        <v>136</v>
      </c>
      <c r="B91" s="319">
        <v>100</v>
      </c>
      <c r="C91" s="324">
        <v>1</v>
      </c>
      <c r="D91" s="399">
        <v>0.63300000000000001</v>
      </c>
      <c r="E91" s="400">
        <f>IF(ISBLANK(D91),"-",$D$101/$D$98*D91)</f>
        <v>0.64503969821924712</v>
      </c>
      <c r="F91" s="401">
        <v>0.60199999999999998</v>
      </c>
      <c r="G91" s="402">
        <f>IF(ISBLANK(F91),"-",$D$101/$F$98*F91)</f>
        <v>0.63385655278693154</v>
      </c>
    </row>
    <row r="92" spans="1:11" ht="26.25" customHeight="1" x14ac:dyDescent="0.3">
      <c r="A92" s="318" t="s">
        <v>137</v>
      </c>
      <c r="B92" s="319">
        <v>1</v>
      </c>
      <c r="C92" s="328">
        <v>2</v>
      </c>
      <c r="D92" s="377">
        <v>0.63300000000000001</v>
      </c>
      <c r="E92" s="403">
        <f>IF(ISBLANK(D92),"-",$D$101/$D$98*D92)</f>
        <v>0.64503969821924712</v>
      </c>
      <c r="F92" s="404">
        <v>0.60199999999999998</v>
      </c>
      <c r="G92" s="405">
        <f>IF(ISBLANK(F92),"-",$D$101/$F$98*F92)</f>
        <v>0.63385655278693154</v>
      </c>
    </row>
    <row r="93" spans="1:11" ht="26.25" customHeight="1" x14ac:dyDescent="0.3">
      <c r="A93" s="318" t="s">
        <v>138</v>
      </c>
      <c r="B93" s="319">
        <v>1</v>
      </c>
      <c r="C93" s="328">
        <v>3</v>
      </c>
      <c r="D93" s="377">
        <v>0.63400000000000001</v>
      </c>
      <c r="E93" s="403">
        <f>IF(ISBLANK(D93),"-",$D$101/$D$98*D93)</f>
        <v>0.64605871827962513</v>
      </c>
      <c r="F93" s="404">
        <v>0.60299999999999998</v>
      </c>
      <c r="G93" s="405">
        <f>IF(ISBLANK(F93),"-",$D$101/$F$98*F93)</f>
        <v>0.63490947064870384</v>
      </c>
    </row>
    <row r="94" spans="1:11" ht="26.25" customHeight="1" x14ac:dyDescent="0.3">
      <c r="A94" s="318" t="s">
        <v>139</v>
      </c>
      <c r="B94" s="319">
        <v>1</v>
      </c>
      <c r="C94" s="333">
        <v>4</v>
      </c>
      <c r="D94" s="406"/>
      <c r="E94" s="407" t="str">
        <f>IF(ISBLANK(D94),"-",$D$101/$D$98*D94)</f>
        <v>-</v>
      </c>
      <c r="F94" s="408"/>
      <c r="G94" s="409" t="str">
        <f>IF(ISBLANK(F94),"-",$D$101/$F$98*F94)</f>
        <v>-</v>
      </c>
    </row>
    <row r="95" spans="1:11" ht="27" customHeight="1" thickBot="1" x14ac:dyDescent="0.35">
      <c r="A95" s="318" t="s">
        <v>140</v>
      </c>
      <c r="B95" s="319">
        <v>1</v>
      </c>
      <c r="C95" s="301" t="s">
        <v>71</v>
      </c>
      <c r="D95" s="337">
        <f>AVERAGE(D91:D94)</f>
        <v>0.6333333333333333</v>
      </c>
      <c r="E95" s="338">
        <f>AVERAGE(E91:E94)</f>
        <v>0.64537937157270642</v>
      </c>
      <c r="F95" s="410">
        <f>AVERAGE(F91:F94)</f>
        <v>0.60233333333333328</v>
      </c>
      <c r="G95" s="411">
        <f>AVERAGE(G91:G94)</f>
        <v>0.63420752540752234</v>
      </c>
    </row>
    <row r="96" spans="1:11" ht="26.25" customHeight="1" x14ac:dyDescent="0.3">
      <c r="A96" s="318" t="s">
        <v>141</v>
      </c>
      <c r="B96" s="319">
        <v>1</v>
      </c>
      <c r="C96" s="342" t="s">
        <v>73</v>
      </c>
      <c r="D96" s="343">
        <v>20.190000000000001</v>
      </c>
      <c r="E96" s="293"/>
      <c r="F96" s="344">
        <v>19.54</v>
      </c>
    </row>
    <row r="97" spans="1:9" ht="26.25" customHeight="1" x14ac:dyDescent="0.3">
      <c r="A97" s="318" t="s">
        <v>142</v>
      </c>
      <c r="B97" s="319">
        <v>1</v>
      </c>
      <c r="C97" s="345" t="s">
        <v>75</v>
      </c>
      <c r="D97" s="346">
        <f>D96*$B$87</f>
        <v>20.190000000000001</v>
      </c>
      <c r="E97" s="328"/>
      <c r="F97" s="347">
        <f>F96*$B$87</f>
        <v>19.54</v>
      </c>
    </row>
    <row r="98" spans="1:9" ht="19.5" customHeight="1" thickBot="1" x14ac:dyDescent="0.35">
      <c r="A98" s="388" t="s">
        <v>76</v>
      </c>
      <c r="B98" s="412">
        <f>(B97/B96)*(B95/B94)*(B93/B92)*(B91/B90)*B89</f>
        <v>1666.6666666666667</v>
      </c>
      <c r="C98" s="345" t="s">
        <v>77</v>
      </c>
      <c r="D98" s="349">
        <f>D97*$B$83/100</f>
        <v>19.626699000000002</v>
      </c>
      <c r="E98" s="350"/>
      <c r="F98" s="351">
        <f>F97*$B$83/100</f>
        <v>18.994833999999997</v>
      </c>
    </row>
    <row r="99" spans="1:9" ht="19.5" customHeight="1" thickBot="1" x14ac:dyDescent="0.35">
      <c r="A99" s="602" t="s">
        <v>78</v>
      </c>
      <c r="B99" s="603"/>
      <c r="C99" s="345" t="s">
        <v>79</v>
      </c>
      <c r="D99" s="413">
        <f>D98/$B$98</f>
        <v>1.1776019400000001E-2</v>
      </c>
      <c r="E99" s="414"/>
      <c r="F99" s="415">
        <f>F98/$B$98</f>
        <v>1.1396900399999998E-2</v>
      </c>
      <c r="G99" s="416"/>
      <c r="H99" s="341"/>
    </row>
    <row r="100" spans="1:9" ht="19.5" customHeight="1" thickBot="1" x14ac:dyDescent="0.35">
      <c r="A100" s="604"/>
      <c r="B100" s="605"/>
      <c r="C100" s="356" t="s">
        <v>143</v>
      </c>
      <c r="D100" s="417">
        <f>$B$56/$B$116</f>
        <v>1.1999999999999999E-2</v>
      </c>
      <c r="F100" s="355"/>
      <c r="G100" s="418"/>
      <c r="H100" s="341"/>
    </row>
    <row r="101" spans="1:9" ht="18.75" x14ac:dyDescent="0.3">
      <c r="C101" s="356" t="s">
        <v>81</v>
      </c>
      <c r="D101" s="346">
        <f>D100*$B$98</f>
        <v>20</v>
      </c>
      <c r="F101" s="355"/>
      <c r="G101" s="416"/>
      <c r="H101" s="341"/>
    </row>
    <row r="102" spans="1:9" ht="19.5" customHeight="1" thickBot="1" x14ac:dyDescent="0.35">
      <c r="C102" s="357" t="s">
        <v>82</v>
      </c>
      <c r="D102" s="419">
        <f>D101/B34</f>
        <v>20</v>
      </c>
      <c r="F102" s="330"/>
      <c r="G102" s="416"/>
      <c r="H102" s="341"/>
      <c r="I102" s="420"/>
    </row>
    <row r="103" spans="1:9" ht="18.75" x14ac:dyDescent="0.3">
      <c r="C103" s="359" t="s">
        <v>117</v>
      </c>
      <c r="D103" s="360">
        <f>AVERAGE(E91:E94,G91:G94)</f>
        <v>0.63979344849011432</v>
      </c>
      <c r="F103" s="330"/>
      <c r="G103" s="418"/>
      <c r="H103" s="341"/>
      <c r="I103" s="421"/>
    </row>
    <row r="104" spans="1:9" ht="18.75" x14ac:dyDescent="0.3">
      <c r="C104" s="361" t="s">
        <v>84</v>
      </c>
      <c r="D104" s="422">
        <f>STDEV(E91:E94,G91:G94)/D103</f>
        <v>9.6006287444427036E-3</v>
      </c>
      <c r="F104" s="330"/>
      <c r="G104" s="416"/>
      <c r="H104" s="341"/>
      <c r="I104" s="421"/>
    </row>
    <row r="105" spans="1:9" ht="19.5" customHeight="1" thickBot="1" x14ac:dyDescent="0.35">
      <c r="C105" s="363" t="s">
        <v>20</v>
      </c>
      <c r="D105" s="423">
        <f>COUNT(E91:E94,G91:G94)</f>
        <v>6</v>
      </c>
      <c r="F105" s="330"/>
      <c r="G105" s="416"/>
      <c r="H105" s="341"/>
      <c r="I105" s="421"/>
    </row>
    <row r="106" spans="1:9" ht="19.5" customHeight="1" thickBot="1" x14ac:dyDescent="0.35">
      <c r="A106" s="365"/>
      <c r="B106" s="365"/>
      <c r="C106" s="365"/>
      <c r="D106" s="365"/>
      <c r="E106" s="365"/>
    </row>
    <row r="107" spans="1:9" ht="26.25" customHeight="1" x14ac:dyDescent="0.3">
      <c r="A107" s="316" t="s">
        <v>118</v>
      </c>
      <c r="B107" s="317">
        <v>1000</v>
      </c>
      <c r="C107" s="396" t="s">
        <v>156</v>
      </c>
      <c r="D107" s="424" t="s">
        <v>63</v>
      </c>
      <c r="E107" s="425" t="s">
        <v>120</v>
      </c>
      <c r="F107" s="426" t="s">
        <v>121</v>
      </c>
    </row>
    <row r="108" spans="1:9" ht="26.25" customHeight="1" x14ac:dyDescent="0.3">
      <c r="A108" s="318" t="s">
        <v>145</v>
      </c>
      <c r="B108" s="319">
        <v>3</v>
      </c>
      <c r="C108" s="427">
        <v>1</v>
      </c>
      <c r="D108" s="428">
        <v>0.496</v>
      </c>
      <c r="E108" s="429">
        <f t="shared" ref="E108:E113" si="1">IF(ISBLANK(D108),"-",D108/$D$103*$D$100*$B$116)</f>
        <v>155.05004034365751</v>
      </c>
      <c r="F108" s="430">
        <f t="shared" ref="F108:F113" si="2">IF(ISBLANK(D108), "-", E108/$B$56)</f>
        <v>0.77525020171828762</v>
      </c>
    </row>
    <row r="109" spans="1:9" ht="26.25" customHeight="1" x14ac:dyDescent="0.3">
      <c r="A109" s="318" t="s">
        <v>146</v>
      </c>
      <c r="B109" s="319">
        <v>50</v>
      </c>
      <c r="C109" s="427">
        <v>2</v>
      </c>
      <c r="D109" s="428">
        <v>0.49199999999999999</v>
      </c>
      <c r="E109" s="431">
        <f t="shared" si="1"/>
        <v>153.799636792499</v>
      </c>
      <c r="F109" s="432">
        <f t="shared" si="2"/>
        <v>0.76899818396249497</v>
      </c>
    </row>
    <row r="110" spans="1:9" ht="26.25" customHeight="1" x14ac:dyDescent="0.3">
      <c r="A110" s="318" t="s">
        <v>147</v>
      </c>
      <c r="B110" s="319">
        <v>1</v>
      </c>
      <c r="C110" s="427">
        <v>3</v>
      </c>
      <c r="D110" s="428">
        <v>0.49199999999999999</v>
      </c>
      <c r="E110" s="431">
        <f t="shared" si="1"/>
        <v>153.799636792499</v>
      </c>
      <c r="F110" s="432">
        <f t="shared" si="2"/>
        <v>0.76899818396249497</v>
      </c>
    </row>
    <row r="111" spans="1:9" ht="26.25" customHeight="1" x14ac:dyDescent="0.3">
      <c r="A111" s="318" t="s">
        <v>148</v>
      </c>
      <c r="B111" s="319">
        <v>1</v>
      </c>
      <c r="C111" s="427">
        <v>4</v>
      </c>
      <c r="D111" s="428">
        <v>0.505</v>
      </c>
      <c r="E111" s="431">
        <f t="shared" si="1"/>
        <v>157.86344833376421</v>
      </c>
      <c r="F111" s="432">
        <f t="shared" si="2"/>
        <v>0.789317241668821</v>
      </c>
    </row>
    <row r="112" spans="1:9" ht="26.25" customHeight="1" x14ac:dyDescent="0.3">
      <c r="A112" s="318" t="s">
        <v>149</v>
      </c>
      <c r="B112" s="319">
        <v>1</v>
      </c>
      <c r="C112" s="427">
        <v>5</v>
      </c>
      <c r="D112" s="428">
        <v>0.48199999999999998</v>
      </c>
      <c r="E112" s="431">
        <f t="shared" si="1"/>
        <v>150.67362791460269</v>
      </c>
      <c r="F112" s="432">
        <f t="shared" si="2"/>
        <v>0.75336813957301341</v>
      </c>
    </row>
    <row r="113" spans="1:11" ht="26.25" customHeight="1" x14ac:dyDescent="0.3">
      <c r="A113" s="318" t="s">
        <v>150</v>
      </c>
      <c r="B113" s="319">
        <v>1</v>
      </c>
      <c r="C113" s="433">
        <v>6</v>
      </c>
      <c r="D113" s="434">
        <v>0.498</v>
      </c>
      <c r="E113" s="435">
        <f t="shared" si="1"/>
        <v>155.6752421192368</v>
      </c>
      <c r="F113" s="436">
        <f t="shared" si="2"/>
        <v>0.778376210596184</v>
      </c>
    </row>
    <row r="114" spans="1:11" ht="26.25" customHeight="1" x14ac:dyDescent="0.3">
      <c r="A114" s="318" t="s">
        <v>151</v>
      </c>
      <c r="B114" s="319">
        <v>1</v>
      </c>
      <c r="C114" s="427"/>
      <c r="D114" s="328"/>
      <c r="E114" s="293"/>
      <c r="F114" s="437"/>
    </row>
    <row r="115" spans="1:11" ht="26.25" customHeight="1" x14ac:dyDescent="0.3">
      <c r="A115" s="318" t="s">
        <v>152</v>
      </c>
      <c r="B115" s="319">
        <v>1</v>
      </c>
      <c r="C115" s="427"/>
      <c r="D115" s="438"/>
      <c r="E115" s="439" t="s">
        <v>71</v>
      </c>
      <c r="F115" s="440">
        <f>AVERAGE(F108:F113)</f>
        <v>0.772384693580216</v>
      </c>
    </row>
    <row r="116" spans="1:11" ht="27" customHeight="1" thickBot="1" x14ac:dyDescent="0.35">
      <c r="A116" s="318" t="s">
        <v>103</v>
      </c>
      <c r="B116" s="348">
        <f>(B115/B114)*(B113/B112)*(B111/B110)*(B109/B108)*B107</f>
        <v>16666.666666666668</v>
      </c>
      <c r="C116" s="441"/>
      <c r="D116" s="442"/>
      <c r="E116" s="301" t="s">
        <v>84</v>
      </c>
      <c r="F116" s="443">
        <f>STDEV(F108:F113)/F115</f>
        <v>1.5486447553048763E-2</v>
      </c>
    </row>
    <row r="117" spans="1:11" ht="19.5" customHeight="1" thickBot="1" x14ac:dyDescent="0.35">
      <c r="A117" s="602" t="s">
        <v>78</v>
      </c>
      <c r="B117" s="603"/>
      <c r="C117" s="444"/>
      <c r="D117" s="445"/>
      <c r="E117" s="446" t="s">
        <v>20</v>
      </c>
      <c r="F117" s="447">
        <f>COUNT(F108:F113)</f>
        <v>6</v>
      </c>
      <c r="I117" s="421"/>
    </row>
    <row r="118" spans="1:11" ht="19.5" customHeight="1" thickBot="1" x14ac:dyDescent="0.35">
      <c r="A118" s="604"/>
      <c r="B118" s="605"/>
      <c r="C118" s="293"/>
      <c r="D118" s="293"/>
      <c r="E118" s="293"/>
      <c r="F118" s="328"/>
      <c r="G118" s="293"/>
      <c r="H118" s="293"/>
    </row>
    <row r="119" spans="1:11" ht="18.75" x14ac:dyDescent="0.3">
      <c r="A119" s="314"/>
      <c r="B119" s="314"/>
      <c r="C119" s="293"/>
      <c r="D119" s="293"/>
      <c r="E119" s="293"/>
      <c r="F119" s="328"/>
      <c r="G119" s="293"/>
      <c r="H119" s="293"/>
    </row>
    <row r="120" spans="1:11" ht="18.75" x14ac:dyDescent="0.3">
      <c r="A120" s="448" t="s">
        <v>157</v>
      </c>
      <c r="B120" s="448" t="s">
        <v>158</v>
      </c>
      <c r="C120" s="332"/>
      <c r="D120" s="332"/>
      <c r="E120" s="332"/>
      <c r="F120" s="332"/>
      <c r="G120" s="332"/>
      <c r="H120" s="332"/>
    </row>
    <row r="121" spans="1:11" ht="18.75" x14ac:dyDescent="0.3">
      <c r="A121" s="448"/>
      <c r="B121" s="448"/>
      <c r="C121" s="332"/>
      <c r="D121" s="332"/>
      <c r="E121" s="332"/>
      <c r="F121" s="332"/>
      <c r="G121" s="332"/>
      <c r="H121" s="332"/>
    </row>
    <row r="122" spans="1:11" ht="18.75" x14ac:dyDescent="0.3">
      <c r="A122" s="449" t="s">
        <v>4</v>
      </c>
      <c r="B122" s="450" t="s">
        <v>155</v>
      </c>
      <c r="C122" s="332"/>
      <c r="D122" s="332"/>
      <c r="E122" s="332"/>
      <c r="F122" s="332"/>
      <c r="G122" s="332"/>
      <c r="H122" s="332"/>
    </row>
    <row r="123" spans="1:11" ht="18.75" x14ac:dyDescent="0.3">
      <c r="A123" s="451" t="s">
        <v>48</v>
      </c>
      <c r="B123" s="450" t="s">
        <v>131</v>
      </c>
      <c r="C123" s="332"/>
      <c r="D123" s="332"/>
      <c r="E123" s="332"/>
      <c r="F123" s="332"/>
      <c r="G123" s="332"/>
      <c r="H123" s="332"/>
    </row>
    <row r="124" spans="1:11" ht="19.5" customHeight="1" thickBot="1" x14ac:dyDescent="0.35">
      <c r="A124" s="451" t="s">
        <v>6</v>
      </c>
      <c r="B124" s="450">
        <v>97.21</v>
      </c>
      <c r="C124" s="332"/>
      <c r="D124" s="332"/>
      <c r="E124" s="332"/>
      <c r="F124" s="332"/>
      <c r="G124" s="332"/>
      <c r="H124" s="332"/>
    </row>
    <row r="125" spans="1:11" s="306" customFormat="1" ht="15.75" customHeight="1" thickBot="1" x14ac:dyDescent="0.35">
      <c r="A125" s="451" t="s">
        <v>49</v>
      </c>
      <c r="B125" s="450">
        <v>0</v>
      </c>
      <c r="C125" s="593" t="s">
        <v>50</v>
      </c>
      <c r="D125" s="594"/>
      <c r="E125" s="594"/>
      <c r="F125" s="594"/>
      <c r="G125" s="595"/>
      <c r="I125" s="305"/>
      <c r="J125" s="305"/>
      <c r="K125" s="305"/>
    </row>
    <row r="126" spans="1:11" s="306" customFormat="1" ht="19.5" customHeight="1" thickBot="1" x14ac:dyDescent="0.35">
      <c r="A126" s="451" t="s">
        <v>51</v>
      </c>
      <c r="B126" s="452">
        <f>B124-B125</f>
        <v>97.21</v>
      </c>
      <c r="C126" s="453"/>
      <c r="D126" s="453"/>
      <c r="E126" s="453"/>
      <c r="F126" s="453"/>
      <c r="G126" s="454"/>
      <c r="I126" s="305"/>
      <c r="J126" s="305"/>
      <c r="K126" s="305"/>
    </row>
    <row r="127" spans="1:11" s="306" customFormat="1" ht="27" customHeight="1" thickBot="1" x14ac:dyDescent="0.3">
      <c r="A127" s="301" t="s">
        <v>52</v>
      </c>
      <c r="B127" s="310">
        <v>1</v>
      </c>
      <c r="C127" s="596" t="s">
        <v>53</v>
      </c>
      <c r="D127" s="597"/>
      <c r="E127" s="597"/>
      <c r="F127" s="597"/>
      <c r="G127" s="597"/>
      <c r="H127" s="598"/>
      <c r="I127" s="305"/>
      <c r="J127" s="305"/>
      <c r="K127" s="305"/>
    </row>
    <row r="128" spans="1:11" s="306" customFormat="1" ht="27" customHeight="1" thickBot="1" x14ac:dyDescent="0.3">
      <c r="A128" s="301" t="s">
        <v>54</v>
      </c>
      <c r="B128" s="310">
        <v>1</v>
      </c>
      <c r="C128" s="596" t="s">
        <v>55</v>
      </c>
      <c r="D128" s="597"/>
      <c r="E128" s="597"/>
      <c r="F128" s="597"/>
      <c r="G128" s="597"/>
      <c r="H128" s="598"/>
      <c r="I128" s="305"/>
      <c r="J128" s="305"/>
      <c r="K128" s="305"/>
    </row>
    <row r="129" spans="1:11" s="306" customFormat="1" ht="18.75" x14ac:dyDescent="0.25">
      <c r="A129" s="301"/>
      <c r="B129" s="313"/>
      <c r="C129" s="314"/>
      <c r="D129" s="314"/>
      <c r="E129" s="314"/>
      <c r="F129" s="314"/>
      <c r="G129" s="314"/>
      <c r="H129" s="314"/>
      <c r="I129" s="305"/>
      <c r="J129" s="305"/>
      <c r="K129" s="305"/>
    </row>
    <row r="130" spans="1:11" ht="18.75" x14ac:dyDescent="0.3">
      <c r="A130" s="301" t="s">
        <v>56</v>
      </c>
      <c r="B130" s="315">
        <f>B127/B128</f>
        <v>1</v>
      </c>
      <c r="C130" s="293" t="s">
        <v>57</v>
      </c>
      <c r="H130" s="304"/>
    </row>
    <row r="131" spans="1:11" ht="19.5" customHeight="1" thickBot="1" x14ac:dyDescent="0.35">
      <c r="A131" s="448"/>
      <c r="B131" s="448"/>
      <c r="C131" s="332"/>
      <c r="D131" s="332"/>
      <c r="E131" s="332"/>
      <c r="F131" s="332"/>
      <c r="G131" s="332"/>
      <c r="H131" s="332"/>
    </row>
    <row r="132" spans="1:11" ht="27" customHeight="1" thickBot="1" x14ac:dyDescent="0.35">
      <c r="A132" s="455" t="s">
        <v>134</v>
      </c>
      <c r="B132" s="456">
        <v>50</v>
      </c>
      <c r="C132" s="332"/>
      <c r="D132" s="613" t="s">
        <v>59</v>
      </c>
      <c r="E132" s="614"/>
      <c r="F132" s="613" t="s">
        <v>60</v>
      </c>
      <c r="G132" s="614"/>
      <c r="H132" s="332"/>
    </row>
    <row r="133" spans="1:11" ht="26.25" customHeight="1" x14ac:dyDescent="0.3">
      <c r="A133" s="457" t="s">
        <v>135</v>
      </c>
      <c r="B133" s="458">
        <v>3</v>
      </c>
      <c r="C133" s="459" t="s">
        <v>159</v>
      </c>
      <c r="D133" s="460" t="s">
        <v>63</v>
      </c>
      <c r="E133" s="461" t="s">
        <v>64</v>
      </c>
      <c r="F133" s="460" t="s">
        <v>63</v>
      </c>
      <c r="G133" s="461" t="s">
        <v>64</v>
      </c>
      <c r="H133" s="332"/>
    </row>
    <row r="134" spans="1:11" ht="26.25" customHeight="1" x14ac:dyDescent="0.3">
      <c r="A134" s="457" t="s">
        <v>136</v>
      </c>
      <c r="B134" s="458">
        <v>100</v>
      </c>
      <c r="C134" s="462">
        <v>1</v>
      </c>
      <c r="D134" s="399">
        <v>0.58399999999999996</v>
      </c>
      <c r="E134" s="463">
        <f>IF(ISBLANK(D134),"-",$D$144/$D$141*D134)</f>
        <v>0.6040836988996523</v>
      </c>
      <c r="F134" s="399">
        <v>0.63900000000000001</v>
      </c>
      <c r="G134" s="463">
        <f>IF(ISBLANK(F134),"-",$D$144/$F$141*F134)</f>
        <v>0.60949446440244714</v>
      </c>
      <c r="H134" s="332"/>
    </row>
    <row r="135" spans="1:11" ht="26.25" customHeight="1" x14ac:dyDescent="0.3">
      <c r="A135" s="457" t="s">
        <v>137</v>
      </c>
      <c r="B135" s="458">
        <v>1</v>
      </c>
      <c r="C135" s="464">
        <v>2</v>
      </c>
      <c r="D135" s="377">
        <v>0.58499999999999996</v>
      </c>
      <c r="E135" s="465">
        <f>IF(ISBLANK(D135),"-",$D$144/$D$141*D135)</f>
        <v>0.60511808879502837</v>
      </c>
      <c r="F135" s="377">
        <v>0.64100000000000001</v>
      </c>
      <c r="G135" s="465">
        <f>IF(ISBLANK(F135),"-",$D$144/$F$141*F135)</f>
        <v>0.61140211530824518</v>
      </c>
      <c r="H135" s="332"/>
    </row>
    <row r="136" spans="1:11" ht="26.25" customHeight="1" x14ac:dyDescent="0.3">
      <c r="A136" s="457" t="s">
        <v>138</v>
      </c>
      <c r="B136" s="458">
        <v>1</v>
      </c>
      <c r="C136" s="464">
        <v>3</v>
      </c>
      <c r="D136" s="377">
        <v>0.58399999999999996</v>
      </c>
      <c r="E136" s="465">
        <f>IF(ISBLANK(D136),"-",$D$144/$D$141*D136)</f>
        <v>0.6040836988996523</v>
      </c>
      <c r="F136" s="377">
        <v>0.64100000000000001</v>
      </c>
      <c r="G136" s="465">
        <f>IF(ISBLANK(F136),"-",$D$144/$F$141*F136)</f>
        <v>0.61140211530824518</v>
      </c>
      <c r="H136" s="332"/>
    </row>
    <row r="137" spans="1:11" ht="26.25" customHeight="1" x14ac:dyDescent="0.3">
      <c r="A137" s="457" t="s">
        <v>139</v>
      </c>
      <c r="B137" s="458">
        <v>1</v>
      </c>
      <c r="C137" s="466">
        <v>4</v>
      </c>
      <c r="D137" s="406"/>
      <c r="E137" s="467" t="str">
        <f>IF(ISBLANK(D137),"-",$D$144/$D$141*D137)</f>
        <v>-</v>
      </c>
      <c r="F137" s="406"/>
      <c r="G137" s="467" t="str">
        <f>IF(ISBLANK(F137),"-",$D$144/$D$141*F137)</f>
        <v>-</v>
      </c>
      <c r="H137" s="332"/>
    </row>
    <row r="138" spans="1:11" ht="27" customHeight="1" thickBot="1" x14ac:dyDescent="0.35">
      <c r="A138" s="457" t="s">
        <v>140</v>
      </c>
      <c r="B138" s="458">
        <v>1</v>
      </c>
      <c r="C138" s="451" t="s">
        <v>71</v>
      </c>
      <c r="D138" s="468">
        <f>AVERAGE(D134:D137)</f>
        <v>0.58433333333333337</v>
      </c>
      <c r="E138" s="469">
        <f>AVERAGE(E134:E137)</f>
        <v>0.6044284955314444</v>
      </c>
      <c r="F138" s="468">
        <f>AVERAGE(F134:F137)</f>
        <v>0.64033333333333331</v>
      </c>
      <c r="G138" s="470">
        <f>AVERAGE(G134:G137)</f>
        <v>0.61076623167297917</v>
      </c>
      <c r="H138" s="332"/>
    </row>
    <row r="139" spans="1:11" ht="26.25" customHeight="1" x14ac:dyDescent="0.3">
      <c r="A139" s="457" t="s">
        <v>141</v>
      </c>
      <c r="B139" s="458">
        <v>1</v>
      </c>
      <c r="C139" s="471" t="s">
        <v>113</v>
      </c>
      <c r="D139" s="319">
        <v>19.89</v>
      </c>
      <c r="E139" s="332"/>
      <c r="F139" s="472">
        <v>21.57</v>
      </c>
      <c r="G139" s="332"/>
      <c r="H139" s="332"/>
    </row>
    <row r="140" spans="1:11" ht="26.25" customHeight="1" x14ac:dyDescent="0.3">
      <c r="A140" s="457" t="s">
        <v>142</v>
      </c>
      <c r="B140" s="458">
        <v>1</v>
      </c>
      <c r="C140" s="473" t="s">
        <v>114</v>
      </c>
      <c r="D140" s="474">
        <f>D139*B130</f>
        <v>19.89</v>
      </c>
      <c r="E140" s="464"/>
      <c r="F140" s="475">
        <f>F139*B130</f>
        <v>21.57</v>
      </c>
      <c r="G140" s="332"/>
      <c r="H140" s="332"/>
    </row>
    <row r="141" spans="1:11" ht="19.5" customHeight="1" thickBot="1" x14ac:dyDescent="0.35">
      <c r="A141" s="457" t="s">
        <v>76</v>
      </c>
      <c r="B141" s="476">
        <f>(B140/B139)*(B138/B137)*(B136/B135)*(B134/B133)*B132</f>
        <v>1666.6666666666667</v>
      </c>
      <c r="C141" s="473" t="s">
        <v>115</v>
      </c>
      <c r="D141" s="477">
        <f>D140*B126/100</f>
        <v>19.335068999999997</v>
      </c>
      <c r="E141" s="478"/>
      <c r="F141" s="479">
        <f>F140*B126/100</f>
        <v>20.968197</v>
      </c>
      <c r="G141" s="332"/>
      <c r="H141" s="332"/>
    </row>
    <row r="142" spans="1:11" ht="19.5" customHeight="1" thickBot="1" x14ac:dyDescent="0.35">
      <c r="A142" s="602" t="s">
        <v>78</v>
      </c>
      <c r="B142" s="615"/>
      <c r="C142" s="473" t="s">
        <v>116</v>
      </c>
      <c r="D142" s="474">
        <f>D141/$B$141</f>
        <v>1.1601041399999998E-2</v>
      </c>
      <c r="E142" s="478"/>
      <c r="F142" s="480">
        <f>F141/$B$141</f>
        <v>1.2580918199999999E-2</v>
      </c>
      <c r="G142" s="306"/>
      <c r="H142" s="481"/>
    </row>
    <row r="143" spans="1:11" ht="19.5" customHeight="1" thickBot="1" x14ac:dyDescent="0.35">
      <c r="A143" s="604"/>
      <c r="B143" s="616"/>
      <c r="C143" s="473" t="s">
        <v>143</v>
      </c>
      <c r="D143" s="477">
        <f>$B$56/$B$159</f>
        <v>1.1999999999999999E-2</v>
      </c>
      <c r="E143" s="332"/>
      <c r="F143" s="482"/>
      <c r="G143" s="483"/>
      <c r="H143" s="481"/>
    </row>
    <row r="144" spans="1:11" ht="18.75" x14ac:dyDescent="0.3">
      <c r="A144" s="332"/>
      <c r="B144" s="332"/>
      <c r="C144" s="473" t="s">
        <v>81</v>
      </c>
      <c r="D144" s="474">
        <f>D143*$B$141</f>
        <v>20</v>
      </c>
      <c r="E144" s="332"/>
      <c r="F144" s="482"/>
      <c r="G144" s="306"/>
      <c r="H144" s="481"/>
    </row>
    <row r="145" spans="1:9" ht="19.5" customHeight="1" thickBot="1" x14ac:dyDescent="0.35">
      <c r="A145" s="332"/>
      <c r="B145" s="332"/>
      <c r="C145" s="484" t="s">
        <v>82</v>
      </c>
      <c r="D145" s="485">
        <f>D144/B130</f>
        <v>20</v>
      </c>
      <c r="E145" s="332"/>
      <c r="F145" s="486"/>
      <c r="G145" s="306"/>
      <c r="H145" s="481"/>
      <c r="I145" s="420"/>
    </row>
    <row r="146" spans="1:9" ht="18.75" x14ac:dyDescent="0.3">
      <c r="A146" s="332"/>
      <c r="B146" s="332"/>
      <c r="C146" s="487" t="s">
        <v>117</v>
      </c>
      <c r="D146" s="488">
        <f>AVERAGE(E134:E137,G134:G137)</f>
        <v>0.60759736360221173</v>
      </c>
      <c r="E146" s="332"/>
      <c r="F146" s="486"/>
      <c r="G146" s="483"/>
      <c r="H146" s="481"/>
      <c r="I146" s="421"/>
    </row>
    <row r="147" spans="1:9" ht="18.75" x14ac:dyDescent="0.3">
      <c r="A147" s="332"/>
      <c r="B147" s="332"/>
      <c r="C147" s="489" t="s">
        <v>84</v>
      </c>
      <c r="D147" s="490">
        <f>STDEV(E134:E137,G134:G137)/D146</f>
        <v>5.8601484904884293E-3</v>
      </c>
      <c r="E147" s="332"/>
      <c r="F147" s="486"/>
      <c r="G147" s="306"/>
      <c r="H147" s="481"/>
      <c r="I147" s="421"/>
    </row>
    <row r="148" spans="1:9" ht="19.5" customHeight="1" thickBot="1" x14ac:dyDescent="0.35">
      <c r="A148" s="332"/>
      <c r="B148" s="332"/>
      <c r="C148" s="491" t="s">
        <v>20</v>
      </c>
      <c r="D148" s="492">
        <f>COUNT(E134:E137,G134:G137)</f>
        <v>6</v>
      </c>
      <c r="E148" s="332"/>
      <c r="F148" s="486"/>
      <c r="G148" s="306"/>
      <c r="H148" s="481"/>
      <c r="I148" s="421"/>
    </row>
    <row r="149" spans="1:9" ht="19.5" customHeight="1" thickBot="1" x14ac:dyDescent="0.35">
      <c r="A149" s="493"/>
      <c r="B149" s="493"/>
      <c r="C149" s="493"/>
      <c r="D149" s="493"/>
      <c r="E149" s="493"/>
      <c r="F149" s="332"/>
      <c r="G149" s="332"/>
      <c r="H149" s="332"/>
    </row>
    <row r="150" spans="1:9" ht="17.25" customHeight="1" x14ac:dyDescent="0.3">
      <c r="A150" s="455" t="s">
        <v>118</v>
      </c>
      <c r="B150" s="456">
        <v>1000</v>
      </c>
      <c r="C150" s="494" t="s">
        <v>156</v>
      </c>
      <c r="D150" s="495" t="s">
        <v>63</v>
      </c>
      <c r="E150" s="496" t="s">
        <v>120</v>
      </c>
      <c r="F150" s="497" t="s">
        <v>121</v>
      </c>
      <c r="G150" s="332"/>
      <c r="H150" s="332"/>
    </row>
    <row r="151" spans="1:9" ht="26.25" customHeight="1" x14ac:dyDescent="0.3">
      <c r="A151" s="457" t="s">
        <v>145</v>
      </c>
      <c r="B151" s="458">
        <v>3</v>
      </c>
      <c r="C151" s="498">
        <v>1</v>
      </c>
      <c r="D151" s="499">
        <v>0.52300000000000002</v>
      </c>
      <c r="E151" s="500">
        <f t="shared" ref="E151:E156" si="3">IF(ISBLANK(D151),"-",D151/$D$146*$D$143*$B$159)</f>
        <v>172.15347904057171</v>
      </c>
      <c r="F151" s="501">
        <f t="shared" ref="F151:F156" si="4">IF(ISBLANK(D151), "-", E151/$B$56)</f>
        <v>0.8607673952028585</v>
      </c>
      <c r="G151" s="332"/>
      <c r="H151" s="332"/>
    </row>
    <row r="152" spans="1:9" ht="26.25" customHeight="1" x14ac:dyDescent="0.3">
      <c r="A152" s="457" t="s">
        <v>146</v>
      </c>
      <c r="B152" s="458">
        <v>50</v>
      </c>
      <c r="C152" s="498">
        <v>2</v>
      </c>
      <c r="D152" s="502">
        <v>0.51900000000000002</v>
      </c>
      <c r="E152" s="503">
        <f t="shared" si="3"/>
        <v>170.83681763299566</v>
      </c>
      <c r="F152" s="504">
        <f t="shared" si="4"/>
        <v>0.85418408816497826</v>
      </c>
      <c r="G152" s="332"/>
      <c r="H152" s="332"/>
    </row>
    <row r="153" spans="1:9" ht="26.25" customHeight="1" x14ac:dyDescent="0.3">
      <c r="A153" s="457" t="s">
        <v>147</v>
      </c>
      <c r="B153" s="458">
        <v>1</v>
      </c>
      <c r="C153" s="498">
        <v>3</v>
      </c>
      <c r="D153" s="502">
        <v>0.52900000000000003</v>
      </c>
      <c r="E153" s="503">
        <f t="shared" si="3"/>
        <v>174.12847115193583</v>
      </c>
      <c r="F153" s="504">
        <f t="shared" si="4"/>
        <v>0.87064235575967919</v>
      </c>
      <c r="G153" s="332"/>
      <c r="H153" s="332"/>
    </row>
    <row r="154" spans="1:9" ht="26.25" customHeight="1" x14ac:dyDescent="0.3">
      <c r="A154" s="457" t="s">
        <v>148</v>
      </c>
      <c r="B154" s="458">
        <v>1</v>
      </c>
      <c r="C154" s="498">
        <v>4</v>
      </c>
      <c r="D154" s="502">
        <v>0.52300000000000002</v>
      </c>
      <c r="E154" s="503">
        <f t="shared" si="3"/>
        <v>172.15347904057171</v>
      </c>
      <c r="F154" s="504">
        <f t="shared" si="4"/>
        <v>0.8607673952028585</v>
      </c>
      <c r="G154" s="332"/>
      <c r="H154" s="332"/>
    </row>
    <row r="155" spans="1:9" ht="26.25" customHeight="1" x14ac:dyDescent="0.3">
      <c r="A155" s="457" t="s">
        <v>149</v>
      </c>
      <c r="B155" s="458">
        <v>1</v>
      </c>
      <c r="C155" s="498">
        <v>5</v>
      </c>
      <c r="D155" s="502">
        <v>0.51700000000000002</v>
      </c>
      <c r="E155" s="503">
        <f t="shared" si="3"/>
        <v>170.17848692920762</v>
      </c>
      <c r="F155" s="504">
        <f t="shared" si="4"/>
        <v>0.85089243464603814</v>
      </c>
      <c r="G155" s="332"/>
      <c r="H155" s="332"/>
    </row>
    <row r="156" spans="1:9" ht="26.25" customHeight="1" x14ac:dyDescent="0.3">
      <c r="A156" s="457" t="s">
        <v>150</v>
      </c>
      <c r="B156" s="458">
        <v>1</v>
      </c>
      <c r="C156" s="505">
        <v>6</v>
      </c>
      <c r="D156" s="506">
        <v>0.52100000000000002</v>
      </c>
      <c r="E156" s="507">
        <f t="shared" si="3"/>
        <v>171.49514833678367</v>
      </c>
      <c r="F156" s="508">
        <f t="shared" si="4"/>
        <v>0.85747574168391838</v>
      </c>
      <c r="G156" s="332"/>
      <c r="H156" s="332"/>
    </row>
    <row r="157" spans="1:9" ht="26.25" customHeight="1" x14ac:dyDescent="0.3">
      <c r="A157" s="457" t="s">
        <v>151</v>
      </c>
      <c r="B157" s="458">
        <v>1</v>
      </c>
      <c r="C157" s="498"/>
      <c r="D157" s="464"/>
      <c r="E157" s="332"/>
      <c r="F157" s="509"/>
      <c r="G157" s="332"/>
      <c r="H157" s="332"/>
    </row>
    <row r="158" spans="1:9" ht="26.25" customHeight="1" x14ac:dyDescent="0.4">
      <c r="A158" s="457" t="s">
        <v>152</v>
      </c>
      <c r="B158" s="458">
        <v>1</v>
      </c>
      <c r="C158" s="498"/>
      <c r="D158" s="510"/>
      <c r="E158" s="511" t="s">
        <v>71</v>
      </c>
      <c r="F158" s="512">
        <f>AVERAGE(F151:F156)</f>
        <v>0.85912156844338849</v>
      </c>
      <c r="G158" s="332"/>
      <c r="H158" s="332"/>
    </row>
    <row r="159" spans="1:9" ht="27" customHeight="1" thickBot="1" x14ac:dyDescent="0.45">
      <c r="A159" s="457" t="s">
        <v>103</v>
      </c>
      <c r="B159" s="476">
        <f>(B158/B157)*(B156/B155)*(B154/B153)*(B152/B151)*B150</f>
        <v>16666.666666666668</v>
      </c>
      <c r="C159" s="513"/>
      <c r="D159" s="332"/>
      <c r="E159" s="514" t="s">
        <v>84</v>
      </c>
      <c r="F159" s="515">
        <f>STDEV(F151:F156)/F158</f>
        <v>7.9449966870987123E-3</v>
      </c>
      <c r="G159" s="332"/>
      <c r="H159" s="332"/>
    </row>
    <row r="160" spans="1:9" ht="27" customHeight="1" thickBot="1" x14ac:dyDescent="0.45">
      <c r="A160" s="602" t="s">
        <v>78</v>
      </c>
      <c r="B160" s="603"/>
      <c r="C160" s="516"/>
      <c r="D160" s="517"/>
      <c r="E160" s="518" t="s">
        <v>20</v>
      </c>
      <c r="F160" s="519">
        <f>COUNT(F151:F156)</f>
        <v>6</v>
      </c>
      <c r="G160" s="332"/>
      <c r="H160" s="332"/>
      <c r="I160" s="421"/>
    </row>
    <row r="161" spans="1:8" ht="19.5" customHeight="1" thickBot="1" x14ac:dyDescent="0.35">
      <c r="A161" s="604"/>
      <c r="B161" s="605"/>
      <c r="C161" s="332"/>
      <c r="D161" s="332"/>
      <c r="E161" s="332"/>
      <c r="F161" s="464"/>
      <c r="G161" s="332"/>
      <c r="H161" s="332"/>
    </row>
    <row r="162" spans="1:8" ht="18.75" x14ac:dyDescent="0.3">
      <c r="A162" s="314"/>
      <c r="B162" s="314"/>
      <c r="C162" s="332"/>
      <c r="D162" s="332"/>
      <c r="E162" s="332"/>
      <c r="F162" s="464"/>
      <c r="G162" s="332"/>
      <c r="H162" s="332"/>
    </row>
    <row r="163" spans="1:8" ht="18.75" x14ac:dyDescent="0.3">
      <c r="A163" s="448" t="s">
        <v>157</v>
      </c>
      <c r="B163" s="299" t="s">
        <v>160</v>
      </c>
      <c r="C163" s="332"/>
      <c r="D163" s="332"/>
      <c r="E163" s="332"/>
      <c r="F163" s="464"/>
      <c r="G163" s="332"/>
      <c r="H163" s="332"/>
    </row>
    <row r="164" spans="1:8" ht="19.5" customHeight="1" thickBot="1" x14ac:dyDescent="0.35">
      <c r="A164" s="314"/>
      <c r="B164" s="314"/>
      <c r="C164" s="332"/>
      <c r="D164" s="332"/>
      <c r="E164" s="332"/>
      <c r="F164" s="464"/>
      <c r="G164" s="332"/>
      <c r="H164" s="332"/>
    </row>
    <row r="165" spans="1:8" ht="26.25" customHeight="1" x14ac:dyDescent="0.4">
      <c r="A165" s="520" t="s">
        <v>71</v>
      </c>
      <c r="B165" s="521">
        <f>AVERAGE(F108:F113,F151:F156)</f>
        <v>0.81575313101180225</v>
      </c>
      <c r="C165" s="332"/>
      <c r="D165" s="332"/>
      <c r="E165" s="332"/>
      <c r="F165" s="464"/>
      <c r="G165" s="332"/>
      <c r="H165" s="332"/>
    </row>
    <row r="166" spans="1:8" ht="26.25" customHeight="1" x14ac:dyDescent="0.4">
      <c r="A166" s="457" t="s">
        <v>84</v>
      </c>
      <c r="B166" s="522">
        <f>STDEV(F108:F113,F151:F156)/B165</f>
        <v>5.6682226951775987E-2</v>
      </c>
      <c r="C166" s="332"/>
      <c r="D166" s="332"/>
      <c r="E166" s="332"/>
      <c r="F166" s="464"/>
      <c r="G166" s="332"/>
      <c r="H166" s="332"/>
    </row>
    <row r="167" spans="1:8" ht="27" customHeight="1" thickBot="1" x14ac:dyDescent="0.45">
      <c r="A167" s="523" t="s">
        <v>20</v>
      </c>
      <c r="B167" s="524">
        <f>COUNT(F108:F113,F151:F156)</f>
        <v>12</v>
      </c>
      <c r="C167" s="332"/>
      <c r="D167" s="332"/>
      <c r="E167" s="332"/>
      <c r="F167" s="464"/>
      <c r="G167" s="332"/>
      <c r="H167" s="332"/>
    </row>
    <row r="168" spans="1:8" ht="26.25" customHeight="1" x14ac:dyDescent="0.3">
      <c r="A168" s="300" t="s">
        <v>154</v>
      </c>
      <c r="B168" s="301" t="s">
        <v>126</v>
      </c>
      <c r="C168" s="607" t="str">
        <f>B20</f>
        <v xml:space="preserve">EFAVIRENZ </v>
      </c>
      <c r="D168" s="607"/>
      <c r="E168" s="293" t="s">
        <v>127</v>
      </c>
      <c r="F168" s="293"/>
      <c r="G168" s="395">
        <f>B165</f>
        <v>0.81575313101180225</v>
      </c>
      <c r="H168" s="293"/>
    </row>
    <row r="169" spans="1:8" ht="19.5" customHeight="1" thickBot="1" x14ac:dyDescent="0.35">
      <c r="A169" s="525"/>
      <c r="B169" s="525"/>
      <c r="C169" s="526"/>
      <c r="D169" s="526"/>
      <c r="E169" s="526"/>
      <c r="F169" s="526"/>
      <c r="G169" s="526"/>
      <c r="H169" s="526"/>
    </row>
    <row r="170" spans="1:8" ht="18.75" x14ac:dyDescent="0.3">
      <c r="B170" s="606" t="s">
        <v>26</v>
      </c>
      <c r="C170" s="606"/>
      <c r="E170" s="320" t="s">
        <v>27</v>
      </c>
      <c r="F170" s="527"/>
      <c r="G170" s="606" t="s">
        <v>28</v>
      </c>
      <c r="H170" s="606"/>
    </row>
    <row r="171" spans="1:8" ht="83.25" customHeight="1" x14ac:dyDescent="0.3">
      <c r="A171" s="300" t="s">
        <v>29</v>
      </c>
      <c r="B171" s="528" t="s">
        <v>132</v>
      </c>
      <c r="C171" s="528"/>
      <c r="E171" s="529"/>
      <c r="F171" s="293"/>
      <c r="G171" s="529"/>
      <c r="H171" s="529"/>
    </row>
    <row r="172" spans="1:8" ht="84" customHeight="1" x14ac:dyDescent="0.3">
      <c r="A172" s="300" t="s">
        <v>30</v>
      </c>
      <c r="B172" s="530"/>
      <c r="C172" s="530"/>
      <c r="E172" s="531"/>
      <c r="F172" s="293"/>
      <c r="G172" s="532"/>
      <c r="H172" s="532"/>
    </row>
    <row r="173" spans="1:8" ht="18.75" x14ac:dyDescent="0.3">
      <c r="A173" s="328"/>
      <c r="B173" s="328"/>
      <c r="C173" s="328"/>
      <c r="D173" s="328"/>
      <c r="E173" s="328"/>
      <c r="F173" s="350"/>
      <c r="G173" s="328"/>
      <c r="H173" s="328"/>
    </row>
    <row r="174" spans="1:8" ht="18.75" x14ac:dyDescent="0.3">
      <c r="A174" s="328"/>
      <c r="B174" s="328"/>
      <c r="C174" s="328"/>
      <c r="D174" s="328"/>
      <c r="E174" s="328"/>
      <c r="F174" s="350"/>
      <c r="G174" s="328"/>
      <c r="H174" s="328"/>
    </row>
    <row r="175" spans="1:8" ht="18.75" x14ac:dyDescent="0.3">
      <c r="A175" s="328"/>
      <c r="B175" s="328"/>
      <c r="C175" s="328"/>
      <c r="D175" s="328"/>
      <c r="E175" s="328"/>
      <c r="F175" s="350"/>
      <c r="G175" s="328"/>
      <c r="H175" s="328"/>
    </row>
    <row r="176" spans="1:8" ht="18.75" x14ac:dyDescent="0.3">
      <c r="A176" s="328"/>
      <c r="B176" s="328"/>
      <c r="C176" s="328"/>
      <c r="D176" s="328"/>
      <c r="E176" s="328"/>
      <c r="F176" s="350"/>
      <c r="G176" s="328"/>
      <c r="H176" s="328"/>
    </row>
    <row r="177" spans="1:8" ht="18.75" x14ac:dyDescent="0.3">
      <c r="A177" s="328"/>
      <c r="B177" s="328"/>
      <c r="C177" s="328"/>
      <c r="D177" s="328"/>
      <c r="E177" s="328"/>
      <c r="F177" s="350"/>
      <c r="G177" s="328"/>
      <c r="H177" s="328"/>
    </row>
    <row r="178" spans="1:8" ht="18.75" x14ac:dyDescent="0.3">
      <c r="A178" s="328"/>
      <c r="B178" s="328"/>
      <c r="C178" s="328"/>
      <c r="D178" s="328"/>
      <c r="E178" s="328"/>
      <c r="F178" s="350"/>
      <c r="G178" s="328"/>
      <c r="H178" s="328"/>
    </row>
    <row r="179" spans="1:8" ht="18.75" x14ac:dyDescent="0.3">
      <c r="A179" s="328"/>
      <c r="B179" s="328"/>
      <c r="C179" s="328"/>
      <c r="D179" s="328"/>
      <c r="E179" s="328"/>
      <c r="F179" s="350"/>
      <c r="G179" s="328"/>
      <c r="H179" s="328"/>
    </row>
    <row r="180" spans="1:8" ht="18.75" x14ac:dyDescent="0.3">
      <c r="A180" s="328"/>
      <c r="B180" s="328"/>
      <c r="C180" s="328"/>
      <c r="D180" s="328"/>
      <c r="E180" s="328"/>
      <c r="F180" s="350"/>
      <c r="G180" s="328"/>
      <c r="H180" s="328"/>
    </row>
    <row r="181" spans="1:8" ht="18.75" x14ac:dyDescent="0.3">
      <c r="A181" s="328"/>
      <c r="B181" s="328"/>
      <c r="C181" s="328"/>
      <c r="D181" s="328"/>
      <c r="E181" s="328"/>
      <c r="F181" s="350"/>
      <c r="G181" s="328"/>
      <c r="H181" s="328"/>
    </row>
    <row r="250" spans="1:1" x14ac:dyDescent="0.3">
      <c r="A250" s="288">
        <v>5</v>
      </c>
    </row>
  </sheetData>
  <sheetProtection password="F258" sheet="1" objects="1" scenarios="1" formatCells="0" formatColumns="0"/>
  <mergeCells count="39">
    <mergeCell ref="B170:C170"/>
    <mergeCell ref="G170:H170"/>
    <mergeCell ref="F89:G89"/>
    <mergeCell ref="A99:B100"/>
    <mergeCell ref="A117:B118"/>
    <mergeCell ref="C125:G125"/>
    <mergeCell ref="C127:H127"/>
    <mergeCell ref="C128:H128"/>
    <mergeCell ref="D132:E132"/>
    <mergeCell ref="F132:G132"/>
    <mergeCell ref="A142:B143"/>
    <mergeCell ref="A160:B161"/>
    <mergeCell ref="C168:D168"/>
    <mergeCell ref="C85:H85"/>
    <mergeCell ref="A46:B47"/>
    <mergeCell ref="C60:C63"/>
    <mergeCell ref="D60:D63"/>
    <mergeCell ref="C64:C67"/>
    <mergeCell ref="D64:D67"/>
    <mergeCell ref="C68:C71"/>
    <mergeCell ref="D68:D71"/>
    <mergeCell ref="A70:B71"/>
    <mergeCell ref="C76:D76"/>
    <mergeCell ref="B79:C79"/>
    <mergeCell ref="B80:C80"/>
    <mergeCell ref="C82:G82"/>
    <mergeCell ref="C84:H84"/>
    <mergeCell ref="B27:C27"/>
    <mergeCell ref="C29:G29"/>
    <mergeCell ref="C31:H31"/>
    <mergeCell ref="C32:H32"/>
    <mergeCell ref="D36:E36"/>
    <mergeCell ref="F36:G36"/>
    <mergeCell ref="B26:C26"/>
    <mergeCell ref="A1:H7"/>
    <mergeCell ref="A8:H14"/>
    <mergeCell ref="A16:H16"/>
    <mergeCell ref="A17:H17"/>
    <mergeCell ref="B18:C18"/>
  </mergeCells>
  <conditionalFormatting sqref="D51">
    <cfRule type="cellIs" dxfId="2" priority="1" operator="greaterThan">
      <formula>0.02</formula>
    </cfRule>
  </conditionalFormatting>
  <conditionalFormatting sqref="H73">
    <cfRule type="cellIs" dxfId="1" priority="2" operator="greaterThan">
      <formula>0.02</formula>
    </cfRule>
  </conditionalFormatting>
  <conditionalFormatting sqref="D104">
    <cfRule type="cellIs" dxfId="0" priority="3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19" orientation="portrait" horizontalDpi="4294967295" verticalDpi="4294967295" r:id="rId1"/>
  <headerFooter alignWithMargins="0">
    <oddHeader>&amp;LVer 2</oddHeader>
    <oddFooter>&amp;LNQCL/ADDO/014&amp;CPage &amp;P of &amp;N&amp;R&amp;D &amp;T</oddFooter>
  </headerFooter>
  <rowBreaks count="1" manualBreakCount="1">
    <brk id="7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Efavirenz</vt:lpstr>
      <vt:lpstr>Efavirenz S2</vt:lpstr>
      <vt:lpstr>'Efavirenz S2'!Print_Area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2018-07-03T15:07:21Z</cp:lastPrinted>
  <dcterms:created xsi:type="dcterms:W3CDTF">2005-07-05T10:19:27Z</dcterms:created>
  <dcterms:modified xsi:type="dcterms:W3CDTF">2018-07-06T08:07:06Z</dcterms:modified>
</cp:coreProperties>
</file>