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Jul\"/>
    </mc:Choice>
  </mc:AlternateContent>
  <bookViews>
    <workbookView xWindow="0" yWindow="0" windowWidth="16815" windowHeight="7650" activeTab="3"/>
  </bookViews>
  <sheets>
    <sheet name="SST" sheetId="1" r:id="rId1"/>
    <sheet name="Uniformity" sheetId="2" r:id="rId2"/>
    <sheet name="weight variation" sheetId="3" r:id="rId3"/>
    <sheet name="Efavirenz 2" sheetId="5" r:id="rId4"/>
  </sheets>
  <definedNames>
    <definedName name="_xlnm.Print_Area" localSheetId="1">Uniformity!$A$11:$F$56</definedName>
  </definedNames>
  <calcPr calcId="162913"/>
</workbook>
</file>

<file path=xl/calcChain.xml><?xml version="1.0" encoding="utf-8"?>
<calcChain xmlns="http://schemas.openxmlformats.org/spreadsheetml/2006/main">
  <c r="B21" i="1" l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43" i="3"/>
  <c r="C41" i="3"/>
  <c r="D38" i="3" s="1"/>
  <c r="C27" i="3"/>
  <c r="C46" i="2"/>
  <c r="B57" i="5" s="1"/>
  <c r="C45" i="2"/>
  <c r="D39" i="2"/>
  <c r="D31" i="2"/>
  <c r="D25" i="2"/>
  <c r="C19" i="2"/>
  <c r="B53" i="1"/>
  <c r="E51" i="1"/>
  <c r="D51" i="1"/>
  <c r="C51" i="1"/>
  <c r="B51" i="1"/>
  <c r="B52" i="1" s="1"/>
  <c r="B32" i="1"/>
  <c r="D30" i="1"/>
  <c r="C30" i="1"/>
  <c r="B30" i="1"/>
  <c r="B31" i="1" s="1"/>
  <c r="D28" i="2" l="1"/>
  <c r="D35" i="2"/>
  <c r="D43" i="2"/>
  <c r="D49" i="2"/>
  <c r="B57" i="3"/>
  <c r="B69" i="5"/>
  <c r="D24" i="2"/>
  <c r="D29" i="2"/>
  <c r="D36" i="2"/>
  <c r="D101" i="5"/>
  <c r="I92" i="5"/>
  <c r="D27" i="2"/>
  <c r="D32" i="2"/>
  <c r="D40" i="2"/>
  <c r="C49" i="2"/>
  <c r="I39" i="5"/>
  <c r="D39" i="3"/>
  <c r="D36" i="3"/>
  <c r="D35" i="3"/>
  <c r="D32" i="3"/>
  <c r="D31" i="3"/>
  <c r="D30" i="3"/>
  <c r="D97" i="5"/>
  <c r="D98" i="5" s="1"/>
  <c r="D45" i="5"/>
  <c r="D46" i="5" s="1"/>
  <c r="F44" i="5"/>
  <c r="F45" i="5" s="1"/>
  <c r="F46" i="5" s="1"/>
  <c r="D33" i="3"/>
  <c r="D37" i="3"/>
  <c r="C42" i="3"/>
  <c r="D34" i="3"/>
  <c r="G41" i="5"/>
  <c r="G94" i="5"/>
  <c r="E41" i="5"/>
  <c r="F98" i="5"/>
  <c r="G93" i="5" s="1"/>
  <c r="E40" i="5"/>
  <c r="D49" i="5"/>
  <c r="D102" i="5"/>
  <c r="C50" i="2"/>
  <c r="E39" i="5"/>
  <c r="D33" i="2"/>
  <c r="D37" i="2"/>
  <c r="D41" i="2"/>
  <c r="D26" i="2"/>
  <c r="D30" i="2"/>
  <c r="D34" i="2"/>
  <c r="D38" i="2"/>
  <c r="D42" i="2"/>
  <c r="B49" i="2"/>
  <c r="D50" i="2"/>
  <c r="G39" i="5"/>
  <c r="E38" i="5" l="1"/>
  <c r="E42" i="5" s="1"/>
  <c r="G38" i="5"/>
  <c r="G42" i="5" s="1"/>
  <c r="G40" i="5"/>
  <c r="D43" i="3"/>
  <c r="D41" i="3"/>
  <c r="D42" i="3" s="1"/>
  <c r="G33" i="3"/>
  <c r="D99" i="5"/>
  <c r="E93" i="5"/>
  <c r="D50" i="5"/>
  <c r="E91" i="5"/>
  <c r="E92" i="5"/>
  <c r="E94" i="5"/>
  <c r="F99" i="5"/>
  <c r="G91" i="5"/>
  <c r="G92" i="5"/>
  <c r="D52" i="5" l="1"/>
  <c r="G31" i="3"/>
  <c r="G34" i="3"/>
  <c r="G35" i="3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103" i="5"/>
  <c r="E95" i="5"/>
  <c r="D105" i="5"/>
  <c r="G95" i="5"/>
  <c r="G74" i="5" l="1"/>
  <c r="G72" i="5"/>
  <c r="G73" i="5" s="1"/>
  <c r="H60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20" i="5" l="1"/>
  <c r="E117" i="5"/>
  <c r="F108" i="5"/>
  <c r="E115" i="5"/>
  <c r="E116" i="5" s="1"/>
  <c r="E119" i="5"/>
  <c r="H74" i="5"/>
  <c r="H72" i="5"/>
  <c r="G76" i="5" l="1"/>
  <c r="H73" i="5"/>
  <c r="F125" i="5"/>
  <c r="F120" i="5"/>
  <c r="F117" i="5"/>
  <c r="D125" i="5"/>
  <c r="F115" i="5"/>
  <c r="F119" i="5"/>
  <c r="G124" i="5" l="1"/>
  <c r="F116" i="5"/>
</calcChain>
</file>

<file path=xl/sharedStrings.xml><?xml version="1.0" encoding="utf-8"?>
<sst xmlns="http://schemas.openxmlformats.org/spreadsheetml/2006/main" count="277" uniqueCount="145">
  <si>
    <t>HPLC System Suitability Report</t>
  </si>
  <si>
    <t>Analysis Data</t>
  </si>
  <si>
    <t>Assay</t>
  </si>
  <si>
    <t>Sample(s)</t>
  </si>
  <si>
    <t>Reference Substance:</t>
  </si>
  <si>
    <t>EFAVIRENZ 600 mg TABLETS</t>
  </si>
  <si>
    <t>% age Purity:</t>
  </si>
  <si>
    <t>NDQB201807006</t>
  </si>
  <si>
    <t>Weight (mg):</t>
  </si>
  <si>
    <t>EFAVIRENZ</t>
  </si>
  <si>
    <t>Standard Conc (mg/mL):</t>
  </si>
  <si>
    <t>Each film-coated tablet contains Efavirenz 600mg.</t>
  </si>
  <si>
    <t>2018-07-04 09:16:59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</si>
  <si>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</si>
  <si>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</si>
  <si>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</si>
  <si>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</si>
  <si>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</si>
  <si>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</si>
  <si>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</si>
  <si>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</si>
  <si>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</si>
  <si>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</si>
  <si>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</si>
  <si>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</si>
  <si>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</si>
  <si>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</si>
  <si>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</si>
  <si>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</si>
  <si>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</si>
  <si>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</si>
  <si>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</si>
  <si>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</si>
  <si>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</si>
  <si>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</si>
  <si>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</si>
  <si>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</si>
  <si>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</si>
  <si>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</si>
  <si>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</si>
  <si>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</si>
  <si>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</si>
  <si>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</si>
  <si>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</si>
  <si>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</si>
  <si>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</si>
  <si>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</si>
  <si>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</si>
  <si>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</si>
  <si>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</si>
  <si>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</si>
  <si>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</si>
  <si>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</si>
  <si>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</si>
  <si>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</si>
  <si>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</si>
  <si>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</si>
  <si>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</si>
  <si>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</si>
  <si>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Average tablet:</t>
  </si>
  <si>
    <t>RSD:</t>
  </si>
  <si>
    <t>Each Tablet contains</t>
  </si>
  <si>
    <t>Average Tablet Content Weight (mg):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</si>
  <si>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</si>
  <si>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</si>
  <si>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</si>
  <si>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</si>
  <si>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</si>
  <si>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</si>
  <si>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</si>
  <si>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</si>
  <si>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</si>
  <si>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</si>
  <si>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</si>
  <si>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</si>
  <si>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</si>
  <si>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</si>
  <si>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</si>
  <si>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</si>
  <si>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</si>
  <si>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</si>
  <si>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</si>
  <si>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</si>
  <si>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</si>
  <si>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</si>
  <si>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</si>
  <si>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</si>
  <si>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</si>
  <si>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</si>
  <si>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</si>
  <si>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</si>
  <si>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</si>
  <si>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</si>
  <si>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</si>
  <si>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</si>
  <si>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</si>
  <si>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</si>
  <si>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</si>
  <si>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</si>
  <si>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</si>
  <si>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</si>
  <si>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</si>
  <si>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</si>
  <si>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</si>
  <si>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</si>
  <si>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</si>
  <si>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</si>
  <si>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</si>
  <si>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</si>
  <si>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</si>
  <si>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</si>
  <si>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</si>
  <si>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</si>
  <si>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</si>
  <si>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</si>
  <si>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</si>
  <si>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</si>
  <si>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</si>
  <si>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</si>
  <si>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</si>
  <si>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</si>
  <si>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</si>
  <si>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</si>
  <si>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</si>
  <si>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</si>
  <si>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</si>
  <si>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</si>
  <si>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</si>
  <si>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</si>
  <si>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</si>
  <si>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</si>
  <si>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</si>
  <si>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</si>
  <si>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</si>
  <si>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</si>
  <si>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</si>
  <si>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</si>
  <si>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</si>
  <si>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</si>
  <si>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</si>
  <si>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</si>
  <si>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</si>
  <si>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 600MG TABLETS</t>
  </si>
  <si>
    <t>E15-6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</si>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</sst>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dd\-mmm\-yyyy"/>
    <numFmt numFmtId="172" formatCode="0.0000\ &quot;mg&quot;"/>
    <numFmt numFmtId="173" formatCode="0.000"/>
    <numFmt numFmtId="174" formatCode="0.0\ &quot;mg&quot;"/>
    <numFmt numFmtId="175" formatCode="0.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sz val="36"/>
      <color rgb="FF000000"/>
      <name val="Book Antiqua"/>
      <family val="1"/>
    </font>
    <font>
      <b/>
      <u/>
      <sz val="16"/>
      <color rgb="FF000000"/>
      <name val="Book Antiqua"/>
      <family val="1"/>
    </font>
    <font>
      <sz val="14"/>
      <color rgb="FF000000"/>
      <name val="Calibri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21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2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3" fontId="11" fillId="2" borderId="35" xfId="0" applyNumberFormat="1" applyFont="1" applyFill="1" applyBorder="1" applyAlignment="1">
      <alignment horizontal="center"/>
    </xf>
    <xf numFmtId="173" fontId="11" fillId="2" borderId="37" xfId="0" applyNumberFormat="1" applyFont="1" applyFill="1" applyBorder="1" applyAlignment="1">
      <alignment horizontal="center"/>
    </xf>
    <xf numFmtId="0" fontId="21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3" fontId="11" fillId="2" borderId="38" xfId="0" applyNumberFormat="1" applyFont="1" applyFill="1" applyBorder="1" applyAlignment="1">
      <alignment horizontal="center"/>
    </xf>
    <xf numFmtId="173" fontId="11" fillId="2" borderId="39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0" xfId="0" applyFont="1" applyFill="1" applyBorder="1" applyAlignment="1">
      <alignment horizontal="center"/>
    </xf>
    <xf numFmtId="0" fontId="15" fillId="3" borderId="41" xfId="0" applyFont="1" applyFill="1" applyBorder="1" applyAlignment="1" applyProtection="1">
      <alignment horizontal="center"/>
      <protection locked="0"/>
    </xf>
    <xf numFmtId="173" fontId="11" fillId="2" borderId="42" xfId="0" applyNumberFormat="1" applyFont="1" applyFill="1" applyBorder="1" applyAlignment="1">
      <alignment horizontal="center"/>
    </xf>
    <xf numFmtId="173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3" fontId="12" fillId="7" borderId="44" xfId="0" applyNumberFormat="1" applyFont="1" applyFill="1" applyBorder="1" applyAlignment="1">
      <alignment horizontal="center"/>
    </xf>
    <xf numFmtId="173" fontId="12" fillId="7" borderId="4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right"/>
    </xf>
    <xf numFmtId="166" fontId="15" fillId="3" borderId="4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3" fontId="12" fillId="6" borderId="13" xfId="0" applyNumberFormat="1" applyFont="1" applyFill="1" applyBorder="1" applyAlignment="1">
      <alignment horizontal="center"/>
    </xf>
    <xf numFmtId="173" fontId="11" fillId="2" borderId="0" xfId="0" applyNumberFormat="1" applyFont="1" applyFill="1" applyAlignment="1">
      <alignment horizontal="center"/>
    </xf>
    <xf numFmtId="10" fontId="11" fillId="7" borderId="4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4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5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1" fillId="2" borderId="5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3" fontId="15" fillId="3" borderId="41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52" xfId="0" applyNumberFormat="1" applyFont="1" applyFill="1" applyBorder="1" applyAlignment="1">
      <alignment horizontal="center"/>
    </xf>
    <xf numFmtId="1" fontId="12" fillId="7" borderId="53" xfId="0" applyNumberFormat="1" applyFont="1" applyFill="1" applyBorder="1" applyAlignment="1">
      <alignment horizontal="center"/>
    </xf>
    <xf numFmtId="173" fontId="12" fillId="7" borderId="15" xfId="0" applyNumberFormat="1" applyFont="1" applyFill="1" applyBorder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5" fillId="3" borderId="55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6" xfId="0" applyFont="1" applyFill="1" applyBorder="1" applyAlignment="1">
      <alignment horizontal="right"/>
    </xf>
    <xf numFmtId="2" fontId="11" fillId="6" borderId="3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3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7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57" xfId="0" applyNumberFormat="1" applyFont="1" applyFill="1" applyBorder="1" applyAlignment="1">
      <alignment horizontal="center"/>
    </xf>
    <xf numFmtId="2" fontId="15" fillId="6" borderId="40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57" xfId="0" applyNumberFormat="1" applyFont="1" applyFill="1" applyBorder="1" applyAlignment="1">
      <alignment horizontal="center"/>
    </xf>
    <xf numFmtId="173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6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57" xfId="0" applyNumberFormat="1" applyFont="1" applyFill="1" applyBorder="1" applyAlignment="1">
      <alignment horizontal="center"/>
    </xf>
    <xf numFmtId="2" fontId="15" fillId="6" borderId="50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0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75" fontId="15" fillId="6" borderId="55" xfId="0" applyNumberFormat="1" applyFont="1" applyFill="1" applyBorder="1" applyAlignment="1">
      <alignment horizontal="center"/>
    </xf>
    <xf numFmtId="175" fontId="15" fillId="7" borderId="57" xfId="0" applyNumberFormat="1" applyFont="1" applyFill="1" applyBorder="1" applyAlignment="1">
      <alignment horizontal="center"/>
    </xf>
    <xf numFmtId="175" fontId="15" fillId="6" borderId="50" xfId="0" applyNumberFormat="1" applyFont="1" applyFill="1" applyBorder="1" applyAlignment="1">
      <alignment horizontal="center"/>
    </xf>
    <xf numFmtId="170" fontId="22" fillId="2" borderId="0" xfId="0" applyNumberFormat="1" applyFont="1" applyFill="1" applyAlignment="1">
      <alignment horizontal="center"/>
    </xf>
    <xf numFmtId="175" fontId="15" fillId="2" borderId="0" xfId="0" applyNumberFormat="1" applyFont="1" applyFill="1" applyAlignment="1">
      <alignment horizontal="center"/>
    </xf>
    <xf numFmtId="173" fontId="15" fillId="3" borderId="13" xfId="0" applyNumberFormat="1" applyFont="1" applyFill="1" applyBorder="1" applyAlignment="1" applyProtection="1">
      <alignment horizontal="center"/>
      <protection locked="0"/>
    </xf>
    <xf numFmtId="173" fontId="15" fillId="3" borderId="14" xfId="0" applyNumberFormat="1" applyFont="1" applyFill="1" applyBorder="1" applyAlignment="1" applyProtection="1">
      <alignment horizontal="center"/>
      <protection locked="0"/>
    </xf>
    <xf numFmtId="173" fontId="15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10" fontId="18" fillId="2" borderId="14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2" fillId="2" borderId="46" xfId="0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D27" sqref="D2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46" t="s">
        <v>0</v>
      </c>
      <c r="B15" s="346"/>
      <c r="C15" s="346"/>
      <c r="D15" s="346"/>
      <c r="E15" s="34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2" t="s">
        <v>7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26.87</v>
      </c>
      <c r="C20" s="10"/>
      <c r="D20" s="10"/>
      <c r="E20" s="10"/>
    </row>
    <row r="21" spans="1:6" ht="16.5" customHeight="1" x14ac:dyDescent="0.3">
      <c r="A21" s="7" t="s">
        <v>10</v>
      </c>
      <c r="B21" s="13">
        <f>26.87/100</f>
        <v>0.26869999999999999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63970458</v>
      </c>
      <c r="C24" s="18">
        <v>143.19999999999999</v>
      </c>
      <c r="D24" s="19">
        <v>2.1</v>
      </c>
      <c r="E24" s="20">
        <v>4.7</v>
      </c>
    </row>
    <row r="25" spans="1:6" ht="16.5" customHeight="1" x14ac:dyDescent="0.3">
      <c r="A25" s="17">
        <v>2</v>
      </c>
      <c r="B25" s="18">
        <v>63250413</v>
      </c>
      <c r="C25" s="18">
        <v>149</v>
      </c>
      <c r="D25" s="19">
        <v>2</v>
      </c>
      <c r="E25" s="19">
        <v>4.8</v>
      </c>
    </row>
    <row r="26" spans="1:6" ht="16.5" customHeight="1" x14ac:dyDescent="0.3">
      <c r="A26" s="17">
        <v>3</v>
      </c>
      <c r="B26" s="18">
        <v>64233515</v>
      </c>
      <c r="C26" s="18">
        <v>146.1</v>
      </c>
      <c r="D26" s="19">
        <v>2</v>
      </c>
      <c r="E26" s="19">
        <v>4.8</v>
      </c>
    </row>
    <row r="27" spans="1:6" ht="16.5" customHeight="1" x14ac:dyDescent="0.3">
      <c r="A27" s="17">
        <v>4</v>
      </c>
      <c r="B27" s="18">
        <v>62927546</v>
      </c>
      <c r="C27" s="18">
        <v>143.80000000000001</v>
      </c>
      <c r="D27" s="19">
        <v>2.1</v>
      </c>
      <c r="E27" s="19">
        <v>4.7</v>
      </c>
    </row>
    <row r="28" spans="1:6" ht="16.5" customHeight="1" x14ac:dyDescent="0.3">
      <c r="A28" s="17">
        <v>5</v>
      </c>
      <c r="B28" s="18">
        <v>63902057</v>
      </c>
      <c r="C28" s="18">
        <v>142.30000000000001</v>
      </c>
      <c r="D28" s="19">
        <v>2.1</v>
      </c>
      <c r="E28" s="19">
        <v>4.7</v>
      </c>
    </row>
    <row r="29" spans="1:6" ht="16.5" customHeight="1" x14ac:dyDescent="0.3">
      <c r="A29" s="17">
        <v>6</v>
      </c>
      <c r="B29" s="21">
        <v>63250499</v>
      </c>
      <c r="C29" s="21">
        <v>141.4</v>
      </c>
      <c r="D29" s="22">
        <v>2.2000000000000002</v>
      </c>
      <c r="E29" s="22">
        <v>4.7</v>
      </c>
    </row>
    <row r="30" spans="1:6" ht="16.5" customHeight="1" x14ac:dyDescent="0.3">
      <c r="A30" s="23" t="s">
        <v>18</v>
      </c>
      <c r="B30" s="24">
        <f>AVERAGE(B24:B29)</f>
        <v>63589081.333333336</v>
      </c>
      <c r="C30" s="25">
        <f>AVERAGE(C24:C29)</f>
        <v>144.29999999999998</v>
      </c>
      <c r="D30" s="26">
        <f>AVERAGE(D24:D29)</f>
        <v>2.0833333333333335</v>
      </c>
      <c r="E30" s="26" t="s">
        <v>144</v>
      </c>
    </row>
    <row r="31" spans="1:6" ht="16.5" customHeight="1" x14ac:dyDescent="0.3">
      <c r="A31" s="27" t="s">
        <v>19</v>
      </c>
      <c r="B31" s="28">
        <f>(STDEV(B24:B29)/B30)</f>
        <v>8.097454364305437E-3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47" t="s">
        <v>26</v>
      </c>
      <c r="C59" s="34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zoomScale="90" zoomScaleSheetLayoutView="90" workbookViewId="0">
      <selection activeCell="E19" sqref="E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51" t="s">
        <v>31</v>
      </c>
      <c r="B11" s="352"/>
      <c r="C11" s="352"/>
      <c r="D11" s="352"/>
      <c r="E11" s="352"/>
      <c r="F11" s="353"/>
      <c r="G11" s="91"/>
    </row>
    <row r="12" spans="1:7" ht="16.5" customHeight="1" x14ac:dyDescent="0.3">
      <c r="A12" s="350" t="s">
        <v>32</v>
      </c>
      <c r="B12" s="350"/>
      <c r="C12" s="350"/>
      <c r="D12" s="350"/>
      <c r="E12" s="350"/>
      <c r="F12" s="350"/>
      <c r="G12" s="90"/>
    </row>
    <row r="14" spans="1:7" ht="16.5" customHeight="1" x14ac:dyDescent="0.3">
      <c r="A14" s="355" t="s">
        <v>33</v>
      </c>
      <c r="B14" s="355"/>
      <c r="C14" s="60" t="s">
        <v>5</v>
      </c>
    </row>
    <row r="15" spans="1:7" ht="16.5" customHeight="1" x14ac:dyDescent="0.3">
      <c r="A15" s="355" t="s">
        <v>34</v>
      </c>
      <c r="B15" s="355"/>
      <c r="C15" s="60" t="s">
        <v>7</v>
      </c>
    </row>
    <row r="16" spans="1:7" ht="16.5" customHeight="1" x14ac:dyDescent="0.3">
      <c r="A16" s="355" t="s">
        <v>35</v>
      </c>
      <c r="B16" s="355"/>
      <c r="C16" s="60" t="s">
        <v>9</v>
      </c>
    </row>
    <row r="17" spans="1:5" ht="16.5" customHeight="1" x14ac:dyDescent="0.3">
      <c r="A17" s="355" t="s">
        <v>36</v>
      </c>
      <c r="B17" s="355"/>
      <c r="C17" s="60" t="s">
        <v>11</v>
      </c>
    </row>
    <row r="18" spans="1:5" ht="16.5" customHeight="1" x14ac:dyDescent="0.3">
      <c r="A18" s="355" t="s">
        <v>37</v>
      </c>
      <c r="B18" s="355"/>
      <c r="C18" s="97" t="s">
        <v>12</v>
      </c>
    </row>
    <row r="19" spans="1:5" ht="16.5" customHeight="1" x14ac:dyDescent="0.3">
      <c r="A19" s="355" t="s">
        <v>38</v>
      </c>
      <c r="B19" s="35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50" t="s">
        <v>1</v>
      </c>
      <c r="B21" s="350"/>
      <c r="C21" s="59" t="s">
        <v>39</v>
      </c>
      <c r="D21" s="66"/>
    </row>
    <row r="22" spans="1:5" ht="15.75" customHeight="1" x14ac:dyDescent="0.3">
      <c r="A22" s="354"/>
      <c r="B22" s="354"/>
      <c r="C22" s="57"/>
      <c r="D22" s="354"/>
      <c r="E22" s="35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1373.2</v>
      </c>
      <c r="D24" s="87">
        <f t="shared" ref="D24:D43" si="0">(C24-$C$46)/$C$46</f>
        <v>3.8723505979592512E-3</v>
      </c>
      <c r="E24" s="53"/>
    </row>
    <row r="25" spans="1:5" ht="15.75" customHeight="1" x14ac:dyDescent="0.3">
      <c r="C25" s="95">
        <v>1369.04</v>
      </c>
      <c r="D25" s="88">
        <f t="shared" si="0"/>
        <v>8.3119928825375129E-4</v>
      </c>
      <c r="E25" s="53"/>
    </row>
    <row r="26" spans="1:5" ht="15.75" customHeight="1" x14ac:dyDescent="0.3">
      <c r="C26" s="95">
        <v>1361.97</v>
      </c>
      <c r="D26" s="88">
        <f t="shared" si="0"/>
        <v>-4.3372958462696305E-3</v>
      </c>
      <c r="E26" s="53"/>
    </row>
    <row r="27" spans="1:5" ht="15.75" customHeight="1" x14ac:dyDescent="0.3">
      <c r="C27" s="95">
        <v>1360.18</v>
      </c>
      <c r="D27" s="88">
        <f t="shared" si="0"/>
        <v>-5.6458681646284351E-3</v>
      </c>
      <c r="E27" s="53"/>
    </row>
    <row r="28" spans="1:5" ht="15.75" customHeight="1" x14ac:dyDescent="0.3">
      <c r="C28" s="95">
        <v>1362.49</v>
      </c>
      <c r="D28" s="88">
        <f t="shared" si="0"/>
        <v>-3.9571519325564634E-3</v>
      </c>
      <c r="E28" s="53"/>
    </row>
    <row r="29" spans="1:5" ht="15.75" customHeight="1" x14ac:dyDescent="0.3">
      <c r="C29" s="95">
        <v>1365.66</v>
      </c>
      <c r="D29" s="88">
        <f t="shared" si="0"/>
        <v>-1.6397361508818323E-3</v>
      </c>
      <c r="E29" s="53"/>
    </row>
    <row r="30" spans="1:5" ht="15.75" customHeight="1" x14ac:dyDescent="0.3">
      <c r="C30" s="95">
        <v>1362.44</v>
      </c>
      <c r="D30" s="88">
        <f t="shared" si="0"/>
        <v>-3.9937042319519288E-3</v>
      </c>
      <c r="E30" s="53"/>
    </row>
    <row r="31" spans="1:5" ht="15.75" customHeight="1" x14ac:dyDescent="0.3">
      <c r="C31" s="95">
        <v>1381.59</v>
      </c>
      <c r="D31" s="88">
        <f t="shared" si="0"/>
        <v>1.0005826436523736E-2</v>
      </c>
      <c r="E31" s="53"/>
    </row>
    <row r="32" spans="1:5" ht="15.75" customHeight="1" x14ac:dyDescent="0.3">
      <c r="C32" s="95">
        <v>1352.48</v>
      </c>
      <c r="D32" s="88">
        <f t="shared" si="0"/>
        <v>-1.1274922271535173E-2</v>
      </c>
      <c r="E32" s="53"/>
    </row>
    <row r="33" spans="1:7" ht="15.75" customHeight="1" x14ac:dyDescent="0.3">
      <c r="C33" s="95">
        <v>1372.32</v>
      </c>
      <c r="D33" s="88">
        <f t="shared" si="0"/>
        <v>3.2290301285984053E-3</v>
      </c>
      <c r="E33" s="53"/>
    </row>
    <row r="34" spans="1:7" ht="15.75" customHeight="1" x14ac:dyDescent="0.3">
      <c r="C34" s="95">
        <v>1367.38</v>
      </c>
      <c r="D34" s="88">
        <f t="shared" si="0"/>
        <v>-3.8233705167667852E-4</v>
      </c>
      <c r="E34" s="53"/>
    </row>
    <row r="35" spans="1:7" ht="15.75" customHeight="1" x14ac:dyDescent="0.3">
      <c r="C35" s="95">
        <v>1382.84</v>
      </c>
      <c r="D35" s="88">
        <f t="shared" si="0"/>
        <v>1.0919633921411188E-2</v>
      </c>
      <c r="E35" s="53"/>
    </row>
    <row r="36" spans="1:7" ht="15.75" customHeight="1" x14ac:dyDescent="0.3">
      <c r="C36" s="95">
        <v>1378.45</v>
      </c>
      <c r="D36" s="88">
        <f t="shared" si="0"/>
        <v>7.7103420344865493E-3</v>
      </c>
      <c r="E36" s="53"/>
    </row>
    <row r="37" spans="1:7" ht="15.75" customHeight="1" x14ac:dyDescent="0.3">
      <c r="C37" s="95">
        <v>1370.08</v>
      </c>
      <c r="D37" s="88">
        <f t="shared" si="0"/>
        <v>1.5914871156800848E-3</v>
      </c>
      <c r="E37" s="53"/>
    </row>
    <row r="38" spans="1:7" ht="15.75" customHeight="1" x14ac:dyDescent="0.3">
      <c r="C38" s="95">
        <v>1372.19</v>
      </c>
      <c r="D38" s="88">
        <f t="shared" si="0"/>
        <v>3.1339941501701968E-3</v>
      </c>
      <c r="E38" s="53"/>
    </row>
    <row r="39" spans="1:7" ht="15.75" customHeight="1" x14ac:dyDescent="0.3">
      <c r="C39" s="95">
        <v>1359.41</v>
      </c>
      <c r="D39" s="88">
        <f t="shared" si="0"/>
        <v>-6.2087735753190917E-3</v>
      </c>
      <c r="E39" s="53"/>
    </row>
    <row r="40" spans="1:7" ht="15.75" customHeight="1" x14ac:dyDescent="0.3">
      <c r="C40" s="95">
        <v>1371.6</v>
      </c>
      <c r="D40" s="88">
        <f t="shared" si="0"/>
        <v>2.7026770173032128E-3</v>
      </c>
      <c r="E40" s="53"/>
    </row>
    <row r="41" spans="1:7" ht="15.75" customHeight="1" x14ac:dyDescent="0.3">
      <c r="C41" s="95">
        <v>1368.3</v>
      </c>
      <c r="D41" s="88">
        <f t="shared" si="0"/>
        <v>2.9022525720037311E-4</v>
      </c>
      <c r="E41" s="53"/>
    </row>
    <row r="42" spans="1:7" ht="15.75" customHeight="1" x14ac:dyDescent="0.3">
      <c r="C42" s="95">
        <v>1362.5</v>
      </c>
      <c r="D42" s="88">
        <f t="shared" si="0"/>
        <v>-3.9498414726773711E-3</v>
      </c>
      <c r="E42" s="53"/>
    </row>
    <row r="43" spans="1:7" ht="16.5" customHeight="1" x14ac:dyDescent="0.3">
      <c r="C43" s="96">
        <v>1363.94</v>
      </c>
      <c r="D43" s="89">
        <f t="shared" si="0"/>
        <v>-2.8971352500869862E-3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27358.059999999998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1367.9029999999998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348">
        <f>C46</f>
        <v>1367.9029999999998</v>
      </c>
      <c r="C49" s="93">
        <f>-IF(C46&lt;=80,10%,IF(C46&lt;250,7.5%,5%))</f>
        <v>-0.05</v>
      </c>
      <c r="D49" s="81">
        <f>IF(C46&lt;=80,C46*0.9,IF(C46&lt;250,C46*0.925,C46*0.95))</f>
        <v>1299.5078499999997</v>
      </c>
    </row>
    <row r="50" spans="1:6" ht="17.25" customHeight="1" x14ac:dyDescent="0.3">
      <c r="B50" s="349"/>
      <c r="C50" s="94">
        <f>IF(C46&lt;=80, 10%, IF(C46&lt;250, 7.5%, 5%))</f>
        <v>0.05</v>
      </c>
      <c r="D50" s="81">
        <f>IF(C46&lt;=80, C46*1.1, IF(C46&lt;250, C46*1.075, C46*1.05))</f>
        <v>1436.2981499999999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" zoomScale="70" zoomScaleNormal="70" zoomScaleSheetLayoutView="70" workbookViewId="0">
      <selection activeCell="D29" sqref="D29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356" t="s">
        <v>45</v>
      </c>
      <c r="B1" s="356"/>
      <c r="C1" s="356"/>
      <c r="D1" s="356"/>
      <c r="E1" s="356"/>
      <c r="F1" s="356"/>
      <c r="G1" s="356"/>
    </row>
    <row r="2" spans="1:7" ht="14.25" customHeight="1" x14ac:dyDescent="0.2">
      <c r="A2" s="356"/>
      <c r="B2" s="356"/>
      <c r="C2" s="356"/>
      <c r="D2" s="356"/>
      <c r="E2" s="356"/>
      <c r="F2" s="356"/>
      <c r="G2" s="356"/>
    </row>
    <row r="3" spans="1:7" ht="14.25" customHeight="1" x14ac:dyDescent="0.2">
      <c r="A3" s="356"/>
      <c r="B3" s="356"/>
      <c r="C3" s="356"/>
      <c r="D3" s="356"/>
      <c r="E3" s="356"/>
      <c r="F3" s="356"/>
      <c r="G3" s="356"/>
    </row>
    <row r="4" spans="1:7" ht="14.25" customHeight="1" x14ac:dyDescent="0.2">
      <c r="A4" s="356"/>
      <c r="B4" s="356"/>
      <c r="C4" s="356"/>
      <c r="D4" s="356"/>
      <c r="E4" s="356"/>
      <c r="F4" s="356"/>
      <c r="G4" s="356"/>
    </row>
    <row r="5" spans="1:7" ht="14.25" customHeight="1" x14ac:dyDescent="0.2">
      <c r="A5" s="356"/>
      <c r="B5" s="356"/>
      <c r="C5" s="356"/>
      <c r="D5" s="356"/>
      <c r="E5" s="356"/>
      <c r="F5" s="356"/>
      <c r="G5" s="356"/>
    </row>
    <row r="6" spans="1:7" ht="14.25" customHeight="1" x14ac:dyDescent="0.2">
      <c r="A6" s="356"/>
      <c r="B6" s="356"/>
      <c r="C6" s="356"/>
      <c r="D6" s="356"/>
      <c r="E6" s="356"/>
      <c r="F6" s="356"/>
      <c r="G6" s="356"/>
    </row>
    <row r="7" spans="1:7" ht="14.25" customHeight="1" x14ac:dyDescent="0.2">
      <c r="A7" s="356"/>
      <c r="B7" s="356"/>
      <c r="C7" s="356"/>
      <c r="D7" s="356"/>
      <c r="E7" s="356"/>
      <c r="F7" s="356"/>
      <c r="G7" s="356"/>
    </row>
    <row r="8" spans="1:7" ht="14.25" customHeight="1" x14ac:dyDescent="0.2">
      <c r="A8" s="357" t="s">
        <v>46</v>
      </c>
      <c r="B8" s="357"/>
      <c r="C8" s="357"/>
      <c r="D8" s="357"/>
      <c r="E8" s="357"/>
      <c r="F8" s="357"/>
      <c r="G8" s="357"/>
    </row>
    <row r="9" spans="1:7" ht="14.25" customHeight="1" x14ac:dyDescent="0.2">
      <c r="A9" s="357"/>
      <c r="B9" s="357"/>
      <c r="C9" s="357"/>
      <c r="D9" s="357"/>
      <c r="E9" s="357"/>
      <c r="F9" s="357"/>
      <c r="G9" s="357"/>
    </row>
    <row r="10" spans="1:7" ht="14.25" customHeight="1" x14ac:dyDescent="0.2">
      <c r="A10" s="357"/>
      <c r="B10" s="357"/>
      <c r="C10" s="357"/>
      <c r="D10" s="357"/>
      <c r="E10" s="357"/>
      <c r="F10" s="357"/>
      <c r="G10" s="357"/>
    </row>
    <row r="11" spans="1:7" ht="14.25" customHeight="1" x14ac:dyDescent="0.2">
      <c r="A11" s="357"/>
      <c r="B11" s="357"/>
      <c r="C11" s="357"/>
      <c r="D11" s="357"/>
      <c r="E11" s="357"/>
      <c r="F11" s="357"/>
      <c r="G11" s="357"/>
    </row>
    <row r="12" spans="1:7" ht="14.25" customHeight="1" x14ac:dyDescent="0.2">
      <c r="A12" s="357"/>
      <c r="B12" s="357"/>
      <c r="C12" s="357"/>
      <c r="D12" s="357"/>
      <c r="E12" s="357"/>
      <c r="F12" s="357"/>
      <c r="G12" s="357"/>
    </row>
    <row r="13" spans="1:7" ht="14.25" customHeight="1" x14ac:dyDescent="0.2">
      <c r="A13" s="357"/>
      <c r="B13" s="357"/>
      <c r="C13" s="357"/>
      <c r="D13" s="357"/>
      <c r="E13" s="357"/>
      <c r="F13" s="357"/>
      <c r="G13" s="357"/>
    </row>
    <row r="14" spans="1:7" ht="14.25" customHeight="1" x14ac:dyDescent="0.2">
      <c r="A14" s="357"/>
      <c r="B14" s="357"/>
      <c r="C14" s="357"/>
      <c r="D14" s="357"/>
      <c r="E14" s="357"/>
      <c r="F14" s="357"/>
      <c r="G14" s="357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361" t="s">
        <v>31</v>
      </c>
      <c r="B16" s="362"/>
      <c r="C16" s="362"/>
      <c r="D16" s="362"/>
      <c r="E16" s="362"/>
      <c r="F16" s="362"/>
      <c r="G16" s="362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363" t="s">
        <v>5</v>
      </c>
      <c r="C18" s="363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102" t="s">
        <v>7</v>
      </c>
      <c r="C19" s="143">
        <v>18</v>
      </c>
      <c r="D19" s="98"/>
      <c r="E19" s="98"/>
      <c r="F19" s="98"/>
      <c r="G19" s="98"/>
    </row>
    <row r="20" spans="1:7" ht="26.25" customHeight="1" x14ac:dyDescent="0.4">
      <c r="A20" s="100" t="s">
        <v>35</v>
      </c>
      <c r="B20" s="364" t="s">
        <v>9</v>
      </c>
      <c r="C20" s="364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3" t="s">
        <v>11</v>
      </c>
      <c r="C21" s="103"/>
      <c r="D21" s="104"/>
      <c r="E21" s="104"/>
      <c r="F21" s="104"/>
      <c r="G21" s="104"/>
    </row>
    <row r="22" spans="1:7" ht="26.25" customHeight="1" x14ac:dyDescent="0.4">
      <c r="A22" s="100" t="s">
        <v>37</v>
      </c>
      <c r="B22" s="105" t="s">
        <v>12</v>
      </c>
      <c r="C22" s="106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5"/>
      <c r="C23" s="106"/>
      <c r="D23" s="98"/>
      <c r="E23" s="98"/>
      <c r="F23" s="98"/>
      <c r="G23" s="98"/>
    </row>
    <row r="24" spans="1:7" ht="18.75" customHeight="1" x14ac:dyDescent="0.3">
      <c r="A24" s="100"/>
      <c r="B24" s="107"/>
      <c r="C24" s="98"/>
      <c r="D24" s="98"/>
      <c r="E24" s="98"/>
      <c r="F24" s="98"/>
      <c r="G24" s="98"/>
    </row>
    <row r="25" spans="1:7" ht="18.75" customHeight="1" x14ac:dyDescent="0.3">
      <c r="A25" s="99" t="s">
        <v>1</v>
      </c>
      <c r="B25" s="115" t="s">
        <v>48</v>
      </c>
      <c r="C25" s="98"/>
      <c r="D25" s="98"/>
      <c r="E25" s="98"/>
      <c r="F25" s="98"/>
      <c r="G25" s="98"/>
    </row>
    <row r="26" spans="1:7" ht="19.5" customHeight="1" x14ac:dyDescent="0.3">
      <c r="A26" s="98" t="s">
        <v>49</v>
      </c>
      <c r="B26" s="116"/>
      <c r="C26" s="98"/>
      <c r="D26" s="98"/>
      <c r="E26" s="98"/>
      <c r="F26" s="98"/>
      <c r="G26" s="98"/>
    </row>
    <row r="27" spans="1:7" ht="27" customHeight="1" x14ac:dyDescent="0.4">
      <c r="A27" s="117" t="s">
        <v>50</v>
      </c>
      <c r="B27" s="151">
        <v>95.97</v>
      </c>
      <c r="C27" s="98" t="str">
        <f>B20</f>
        <v>EFAVIRENZ</v>
      </c>
      <c r="D27" s="365" t="s">
        <v>51</v>
      </c>
      <c r="E27" s="366"/>
      <c r="F27" s="366"/>
      <c r="G27" s="366"/>
    </row>
    <row r="28" spans="1:7" ht="17.25" customHeight="1" x14ac:dyDescent="0.3">
      <c r="A28" s="118"/>
      <c r="B28" s="118"/>
      <c r="C28" s="118"/>
      <c r="D28" s="119"/>
      <c r="E28" s="119"/>
      <c r="F28" s="119"/>
      <c r="G28" s="119"/>
    </row>
    <row r="29" spans="1:7" ht="38.25" customHeight="1" x14ac:dyDescent="0.3">
      <c r="A29" s="113"/>
      <c r="B29" s="145"/>
      <c r="C29" s="147" t="s">
        <v>52</v>
      </c>
      <c r="D29" s="120" t="s">
        <v>53</v>
      </c>
      <c r="F29" s="132"/>
      <c r="G29" s="98"/>
    </row>
    <row r="30" spans="1:7" ht="26.25" customHeight="1" x14ac:dyDescent="0.4">
      <c r="A30" s="113"/>
      <c r="B30" s="121">
        <v>1</v>
      </c>
      <c r="C30" s="148">
        <v>1366.32</v>
      </c>
      <c r="D30" s="146">
        <f t="shared" ref="D30:D39" si="0">IF(ISBLANK(C30),"-",C30/$C$41*$B$27)</f>
        <v>95.683786203660674</v>
      </c>
      <c r="F30" s="359" t="s">
        <v>54</v>
      </c>
      <c r="G30" s="360"/>
    </row>
    <row r="31" spans="1:7" ht="26.25" customHeight="1" x14ac:dyDescent="0.4">
      <c r="A31" s="113"/>
      <c r="B31" s="122">
        <v>2</v>
      </c>
      <c r="C31" s="149">
        <v>1369.31</v>
      </c>
      <c r="D31" s="123">
        <f t="shared" si="0"/>
        <v>95.893176771572257</v>
      </c>
      <c r="F31" s="153" t="s">
        <v>43</v>
      </c>
      <c r="G31" s="154">
        <f>D41</f>
        <v>95.970000000000027</v>
      </c>
    </row>
    <row r="32" spans="1:7" ht="26.25" customHeight="1" x14ac:dyDescent="0.4">
      <c r="A32" s="113"/>
      <c r="B32" s="122">
        <v>3</v>
      </c>
      <c r="C32" s="149">
        <v>1369.18</v>
      </c>
      <c r="D32" s="123">
        <f t="shared" si="0"/>
        <v>95.884072833836981</v>
      </c>
      <c r="F32" s="153" t="s">
        <v>55</v>
      </c>
      <c r="G32" s="155">
        <v>2.4</v>
      </c>
    </row>
    <row r="33" spans="1:7" ht="26.25" customHeight="1" x14ac:dyDescent="0.4">
      <c r="A33" s="113"/>
      <c r="B33" s="122">
        <v>4</v>
      </c>
      <c r="C33" s="149">
        <v>1373.96</v>
      </c>
      <c r="D33" s="123">
        <f t="shared" si="0"/>
        <v>96.218817621334424</v>
      </c>
      <c r="F33" s="153" t="s">
        <v>56</v>
      </c>
      <c r="G33" s="154">
        <f>STDEV(D30:D39)</f>
        <v>0.25936621400461768</v>
      </c>
    </row>
    <row r="34" spans="1:7" ht="26.25" customHeight="1" x14ac:dyDescent="0.4">
      <c r="A34" s="113"/>
      <c r="B34" s="122">
        <v>5</v>
      </c>
      <c r="C34" s="149">
        <v>1375.31</v>
      </c>
      <c r="D34" s="123">
        <f t="shared" si="0"/>
        <v>96.313358513200839</v>
      </c>
      <c r="F34" s="153" t="s">
        <v>57</v>
      </c>
      <c r="G34" s="154">
        <f>IF(OR(D41&lt;98.5,D41&gt;101.5),(IF(D41&lt;98.5,98.5,101.5)),G31)</f>
        <v>98.5</v>
      </c>
    </row>
    <row r="35" spans="1:7" ht="27" customHeight="1" x14ac:dyDescent="0.4">
      <c r="A35" s="113"/>
      <c r="B35" s="122">
        <v>6</v>
      </c>
      <c r="C35" s="149">
        <v>1370.97</v>
      </c>
      <c r="D35" s="123">
        <f t="shared" si="0"/>
        <v>96.00942705342284</v>
      </c>
      <c r="F35" s="156" t="s">
        <v>58</v>
      </c>
      <c r="G35" s="157">
        <f>ABS(G34-G31)+(G32*G33)</f>
        <v>3.1524789136110551</v>
      </c>
    </row>
    <row r="36" spans="1:7" ht="26.25" customHeight="1" x14ac:dyDescent="0.4">
      <c r="A36" s="113"/>
      <c r="B36" s="122">
        <v>7</v>
      </c>
      <c r="C36" s="149">
        <v>1365.92</v>
      </c>
      <c r="D36" s="123">
        <f t="shared" si="0"/>
        <v>95.655774087552118</v>
      </c>
    </row>
    <row r="37" spans="1:7" ht="26.25" customHeight="1" x14ac:dyDescent="0.4">
      <c r="A37" s="113"/>
      <c r="B37" s="122">
        <v>8</v>
      </c>
      <c r="C37" s="149">
        <v>1366.16</v>
      </c>
      <c r="D37" s="123">
        <f t="shared" si="0"/>
        <v>95.672581357217254</v>
      </c>
    </row>
    <row r="38" spans="1:7" ht="26.25" customHeight="1" x14ac:dyDescent="0.4">
      <c r="A38" s="113"/>
      <c r="B38" s="122">
        <v>9</v>
      </c>
      <c r="C38" s="149">
        <v>1375.72</v>
      </c>
      <c r="D38" s="123">
        <f t="shared" si="0"/>
        <v>96.342070932212138</v>
      </c>
    </row>
    <row r="39" spans="1:7" ht="27" customHeight="1" x14ac:dyDescent="0.4">
      <c r="A39" s="108"/>
      <c r="B39" s="124">
        <v>10</v>
      </c>
      <c r="C39" s="150">
        <v>1371.22</v>
      </c>
      <c r="D39" s="125">
        <f t="shared" si="0"/>
        <v>96.026934625990705</v>
      </c>
    </row>
    <row r="40" spans="1:7" ht="18.75" customHeight="1" x14ac:dyDescent="0.3">
      <c r="A40" s="108"/>
      <c r="B40" s="122"/>
      <c r="C40" s="112"/>
      <c r="D40" s="144"/>
    </row>
    <row r="41" spans="1:7" ht="18.75" customHeight="1" x14ac:dyDescent="0.3">
      <c r="A41" s="119"/>
      <c r="B41" s="109" t="s">
        <v>59</v>
      </c>
      <c r="C41" s="152">
        <f>AVERAGE(C30:C39)</f>
        <v>1370.4069999999997</v>
      </c>
      <c r="D41" s="127">
        <f>AVERAGE(D30:D39)</f>
        <v>95.970000000000027</v>
      </c>
    </row>
    <row r="42" spans="1:7" ht="18.75" customHeight="1" x14ac:dyDescent="0.3">
      <c r="A42" s="119"/>
      <c r="B42" s="109" t="s">
        <v>60</v>
      </c>
      <c r="C42" s="128">
        <f>STDEV(C30:C39)/C41</f>
        <v>2.7025759508660391E-3</v>
      </c>
      <c r="D42" s="128">
        <f>STDEV(D30:D39)/D41</f>
        <v>2.702575950866079E-3</v>
      </c>
    </row>
    <row r="43" spans="1:7" ht="19.5" customHeight="1" x14ac:dyDescent="0.3">
      <c r="A43" s="119"/>
      <c r="B43" s="114" t="s">
        <v>20</v>
      </c>
      <c r="C43" s="129">
        <f>COUNT(C30:C39)</f>
        <v>10</v>
      </c>
      <c r="D43" s="129">
        <f>COUNT(D30:D39)</f>
        <v>10</v>
      </c>
    </row>
    <row r="44" spans="1:7" ht="18.75" customHeight="1" x14ac:dyDescent="0.3">
      <c r="A44" s="119"/>
      <c r="B44" s="130"/>
      <c r="C44" s="130"/>
      <c r="D44" s="111"/>
      <c r="E44" s="126"/>
      <c r="F44" s="110"/>
      <c r="G44" s="131"/>
    </row>
    <row r="45" spans="1:7" ht="18.75" customHeight="1" x14ac:dyDescent="0.3">
      <c r="A45" s="98"/>
      <c r="B45" s="98"/>
      <c r="C45" s="98"/>
      <c r="D45" s="98"/>
      <c r="E45" s="98"/>
      <c r="F45" s="98"/>
      <c r="G45" s="98"/>
    </row>
    <row r="46" spans="1:7" ht="19.5" customHeight="1" x14ac:dyDescent="0.3">
      <c r="A46" s="133"/>
      <c r="B46" s="133"/>
      <c r="C46" s="134"/>
      <c r="D46" s="134"/>
      <c r="E46" s="134"/>
      <c r="F46" s="134"/>
      <c r="G46" s="134"/>
    </row>
    <row r="47" spans="1:7" ht="18.75" customHeight="1" x14ac:dyDescent="0.3">
      <c r="A47" s="98"/>
      <c r="B47" s="358" t="s">
        <v>26</v>
      </c>
      <c r="C47" s="358"/>
      <c r="D47" s="98"/>
      <c r="E47" s="135" t="s">
        <v>27</v>
      </c>
      <c r="F47" s="136"/>
      <c r="G47" s="142" t="s">
        <v>28</v>
      </c>
    </row>
    <row r="48" spans="1:7" ht="60" customHeight="1" x14ac:dyDescent="0.3">
      <c r="A48" s="137" t="s">
        <v>29</v>
      </c>
      <c r="B48" s="138"/>
      <c r="C48" s="138"/>
      <c r="D48" s="98"/>
      <c r="E48" s="138"/>
      <c r="F48" s="130"/>
      <c r="G48" s="139"/>
    </row>
    <row r="49" spans="1:7" ht="60" customHeight="1" x14ac:dyDescent="0.3">
      <c r="A49" s="137" t="s">
        <v>30</v>
      </c>
      <c r="B49" s="140"/>
      <c r="C49" s="140"/>
      <c r="D49" s="98"/>
      <c r="E49" s="140"/>
      <c r="F49" s="130"/>
      <c r="G49" s="141"/>
    </row>
    <row r="56" spans="1:7" x14ac:dyDescent="0.2">
      <c r="A56" t="s">
        <v>61</v>
      </c>
    </row>
    <row r="57" spans="1:7" x14ac:dyDescent="0.2">
      <c r="A57" t="s">
        <v>62</v>
      </c>
      <c r="B57">
        <f>Uniformity!C46</f>
        <v>1367.9029999999998</v>
      </c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" zoomScale="50" zoomScaleNormal="40" zoomScalePageLayoutView="50" workbookViewId="0">
      <selection activeCell="G71" sqref="G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56" t="s">
        <v>45</v>
      </c>
      <c r="B1" s="356"/>
      <c r="C1" s="356"/>
      <c r="D1" s="356"/>
      <c r="E1" s="356"/>
      <c r="F1" s="356"/>
      <c r="G1" s="356"/>
      <c r="H1" s="356"/>
      <c r="I1" s="356"/>
    </row>
    <row r="2" spans="1:9" ht="18.75" customHeight="1" x14ac:dyDescent="0.25">
      <c r="A2" s="356"/>
      <c r="B2" s="356"/>
      <c r="C2" s="356"/>
      <c r="D2" s="356"/>
      <c r="E2" s="356"/>
      <c r="F2" s="356"/>
      <c r="G2" s="356"/>
      <c r="H2" s="356"/>
      <c r="I2" s="356"/>
    </row>
    <row r="3" spans="1:9" ht="18.75" customHeight="1" x14ac:dyDescent="0.25">
      <c r="A3" s="356"/>
      <c r="B3" s="356"/>
      <c r="C3" s="356"/>
      <c r="D3" s="356"/>
      <c r="E3" s="356"/>
      <c r="F3" s="356"/>
      <c r="G3" s="356"/>
      <c r="H3" s="356"/>
      <c r="I3" s="356"/>
    </row>
    <row r="4" spans="1:9" ht="18.75" customHeight="1" x14ac:dyDescent="0.25">
      <c r="A4" s="356"/>
      <c r="B4" s="356"/>
      <c r="C4" s="356"/>
      <c r="D4" s="356"/>
      <c r="E4" s="356"/>
      <c r="F4" s="356"/>
      <c r="G4" s="356"/>
      <c r="H4" s="356"/>
      <c r="I4" s="356"/>
    </row>
    <row r="5" spans="1:9" ht="18.75" customHeight="1" x14ac:dyDescent="0.25">
      <c r="A5" s="356"/>
      <c r="B5" s="356"/>
      <c r="C5" s="356"/>
      <c r="D5" s="356"/>
      <c r="E5" s="356"/>
      <c r="F5" s="356"/>
      <c r="G5" s="356"/>
      <c r="H5" s="356"/>
      <c r="I5" s="356"/>
    </row>
    <row r="6" spans="1:9" ht="18.75" customHeight="1" x14ac:dyDescent="0.25">
      <c r="A6" s="356"/>
      <c r="B6" s="356"/>
      <c r="C6" s="356"/>
      <c r="D6" s="356"/>
      <c r="E6" s="356"/>
      <c r="F6" s="356"/>
      <c r="G6" s="356"/>
      <c r="H6" s="356"/>
      <c r="I6" s="356"/>
    </row>
    <row r="7" spans="1:9" ht="18.75" customHeight="1" x14ac:dyDescent="0.25">
      <c r="A7" s="356"/>
      <c r="B7" s="356"/>
      <c r="C7" s="356"/>
      <c r="D7" s="356"/>
      <c r="E7" s="356"/>
      <c r="F7" s="356"/>
      <c r="G7" s="356"/>
      <c r="H7" s="356"/>
      <c r="I7" s="356"/>
    </row>
    <row r="8" spans="1:9" x14ac:dyDescent="0.25">
      <c r="A8" s="357" t="s">
        <v>46</v>
      </c>
      <c r="B8" s="357"/>
      <c r="C8" s="357"/>
      <c r="D8" s="357"/>
      <c r="E8" s="357"/>
      <c r="F8" s="357"/>
      <c r="G8" s="357"/>
      <c r="H8" s="357"/>
      <c r="I8" s="357"/>
    </row>
    <row r="9" spans="1:9" x14ac:dyDescent="0.25">
      <c r="A9" s="357"/>
      <c r="B9" s="357"/>
      <c r="C9" s="357"/>
      <c r="D9" s="357"/>
      <c r="E9" s="357"/>
      <c r="F9" s="357"/>
      <c r="G9" s="357"/>
      <c r="H9" s="357"/>
      <c r="I9" s="357"/>
    </row>
    <row r="10" spans="1:9" x14ac:dyDescent="0.25">
      <c r="A10" s="357"/>
      <c r="B10" s="357"/>
      <c r="C10" s="357"/>
      <c r="D10" s="357"/>
      <c r="E10" s="357"/>
      <c r="F10" s="357"/>
      <c r="G10" s="357"/>
      <c r="H10" s="357"/>
      <c r="I10" s="357"/>
    </row>
    <row r="11" spans="1:9" x14ac:dyDescent="0.25">
      <c r="A11" s="357"/>
      <c r="B11" s="357"/>
      <c r="C11" s="357"/>
      <c r="D11" s="357"/>
      <c r="E11" s="357"/>
      <c r="F11" s="357"/>
      <c r="G11" s="357"/>
      <c r="H11" s="357"/>
      <c r="I11" s="357"/>
    </row>
    <row r="12" spans="1:9" x14ac:dyDescent="0.25">
      <c r="A12" s="357"/>
      <c r="B12" s="357"/>
      <c r="C12" s="357"/>
      <c r="D12" s="357"/>
      <c r="E12" s="357"/>
      <c r="F12" s="357"/>
      <c r="G12" s="357"/>
      <c r="H12" s="357"/>
      <c r="I12" s="357"/>
    </row>
    <row r="13" spans="1:9" x14ac:dyDescent="0.25">
      <c r="A13" s="357"/>
      <c r="B13" s="357"/>
      <c r="C13" s="357"/>
      <c r="D13" s="357"/>
      <c r="E13" s="357"/>
      <c r="F13" s="357"/>
      <c r="G13" s="357"/>
      <c r="H13" s="357"/>
      <c r="I13" s="357"/>
    </row>
    <row r="14" spans="1:9" x14ac:dyDescent="0.25">
      <c r="A14" s="357"/>
      <c r="B14" s="357"/>
      <c r="C14" s="357"/>
      <c r="D14" s="357"/>
      <c r="E14" s="357"/>
      <c r="F14" s="357"/>
      <c r="G14" s="357"/>
      <c r="H14" s="357"/>
      <c r="I14" s="357"/>
    </row>
    <row r="15" spans="1:9" ht="19.5" customHeight="1" x14ac:dyDescent="0.3">
      <c r="A15" s="158"/>
    </row>
    <row r="16" spans="1:9" ht="19.5" customHeight="1" x14ac:dyDescent="0.3">
      <c r="A16" s="361" t="s">
        <v>31</v>
      </c>
      <c r="B16" s="362"/>
      <c r="C16" s="362"/>
      <c r="D16" s="362"/>
      <c r="E16" s="362"/>
      <c r="F16" s="362"/>
      <c r="G16" s="362"/>
      <c r="H16" s="395"/>
    </row>
    <row r="17" spans="1:14" ht="20.25" customHeight="1" x14ac:dyDescent="0.25">
      <c r="A17" s="396" t="s">
        <v>47</v>
      </c>
      <c r="B17" s="396"/>
      <c r="C17" s="396"/>
      <c r="D17" s="396"/>
      <c r="E17" s="396"/>
      <c r="F17" s="396"/>
      <c r="G17" s="396"/>
      <c r="H17" s="396"/>
    </row>
    <row r="18" spans="1:14" ht="26.25" customHeight="1" x14ac:dyDescent="0.4">
      <c r="A18" s="160" t="s">
        <v>33</v>
      </c>
      <c r="B18" s="394" t="s">
        <v>142</v>
      </c>
      <c r="C18" s="394"/>
      <c r="D18" s="306"/>
      <c r="E18" s="161"/>
      <c r="F18" s="162"/>
      <c r="G18" s="162"/>
      <c r="H18" s="162"/>
    </row>
    <row r="19" spans="1:14" ht="26.25" customHeight="1" x14ac:dyDescent="0.4">
      <c r="A19" s="160" t="s">
        <v>34</v>
      </c>
      <c r="B19" s="163" t="s">
        <v>7</v>
      </c>
      <c r="C19" s="315">
        <v>1</v>
      </c>
      <c r="D19" s="162"/>
      <c r="E19" s="162"/>
      <c r="F19" s="162"/>
      <c r="G19" s="162"/>
      <c r="H19" s="162"/>
    </row>
    <row r="20" spans="1:14" ht="26.25" customHeight="1" x14ac:dyDescent="0.4">
      <c r="A20" s="160" t="s">
        <v>35</v>
      </c>
      <c r="B20" s="397" t="s">
        <v>9</v>
      </c>
      <c r="C20" s="397"/>
      <c r="D20" s="162"/>
      <c r="E20" s="162"/>
      <c r="F20" s="162"/>
      <c r="G20" s="162"/>
      <c r="H20" s="162"/>
    </row>
    <row r="21" spans="1:14" ht="26.25" customHeight="1" x14ac:dyDescent="0.4">
      <c r="A21" s="160" t="s">
        <v>36</v>
      </c>
      <c r="B21" s="397" t="s">
        <v>11</v>
      </c>
      <c r="C21" s="397"/>
      <c r="D21" s="397"/>
      <c r="E21" s="397"/>
      <c r="F21" s="397"/>
      <c r="G21" s="397"/>
      <c r="H21" s="397"/>
      <c r="I21" s="164"/>
    </row>
    <row r="22" spans="1:14" ht="26.25" customHeight="1" x14ac:dyDescent="0.4">
      <c r="A22" s="160" t="s">
        <v>37</v>
      </c>
      <c r="B22" s="165"/>
      <c r="C22" s="162"/>
      <c r="D22" s="162"/>
      <c r="E22" s="162"/>
      <c r="F22" s="162"/>
      <c r="G22" s="162"/>
      <c r="H22" s="162"/>
    </row>
    <row r="23" spans="1:14" ht="26.25" customHeight="1" x14ac:dyDescent="0.4">
      <c r="A23" s="160" t="s">
        <v>38</v>
      </c>
      <c r="B23" s="165"/>
      <c r="C23" s="162"/>
      <c r="D23" s="162"/>
      <c r="E23" s="162"/>
      <c r="F23" s="162"/>
      <c r="G23" s="162"/>
      <c r="H23" s="162"/>
    </row>
    <row r="24" spans="1:14" ht="18.75" x14ac:dyDescent="0.3">
      <c r="A24" s="160"/>
      <c r="B24" s="166"/>
    </row>
    <row r="25" spans="1:14" ht="18.75" x14ac:dyDescent="0.3">
      <c r="A25" s="167" t="s">
        <v>1</v>
      </c>
      <c r="B25" s="166"/>
    </row>
    <row r="26" spans="1:14" ht="26.25" customHeight="1" x14ac:dyDescent="0.4">
      <c r="A26" s="168" t="s">
        <v>4</v>
      </c>
      <c r="B26" s="394" t="s">
        <v>9</v>
      </c>
      <c r="C26" s="394"/>
    </row>
    <row r="27" spans="1:14" ht="26.25" customHeight="1" x14ac:dyDescent="0.4">
      <c r="A27" s="169" t="s">
        <v>63</v>
      </c>
      <c r="B27" s="364" t="s">
        <v>143</v>
      </c>
      <c r="C27" s="364"/>
    </row>
    <row r="28" spans="1:14" ht="27" customHeight="1" x14ac:dyDescent="0.4">
      <c r="A28" s="169" t="s">
        <v>6</v>
      </c>
      <c r="B28" s="170">
        <v>97.21</v>
      </c>
    </row>
    <row r="29" spans="1:14" s="14" customFormat="1" ht="27" customHeight="1" x14ac:dyDescent="0.4">
      <c r="A29" s="169" t="s">
        <v>64</v>
      </c>
      <c r="B29" s="171">
        <v>0</v>
      </c>
      <c r="C29" s="372" t="s">
        <v>65</v>
      </c>
      <c r="D29" s="373"/>
      <c r="E29" s="373"/>
      <c r="F29" s="373"/>
      <c r="G29" s="374"/>
      <c r="I29" s="172"/>
      <c r="J29" s="172"/>
      <c r="K29" s="172"/>
      <c r="L29" s="172"/>
    </row>
    <row r="30" spans="1:14" s="14" customFormat="1" ht="19.5" customHeight="1" x14ac:dyDescent="0.3">
      <c r="A30" s="169" t="s">
        <v>66</v>
      </c>
      <c r="B30" s="173">
        <f>B28-B29</f>
        <v>97.21</v>
      </c>
      <c r="C30" s="174"/>
      <c r="D30" s="174"/>
      <c r="E30" s="174"/>
      <c r="F30" s="174"/>
      <c r="G30" s="175"/>
      <c r="I30" s="172"/>
      <c r="J30" s="172"/>
      <c r="K30" s="172"/>
      <c r="L30" s="172"/>
    </row>
    <row r="31" spans="1:14" s="14" customFormat="1" ht="27" customHeight="1" x14ac:dyDescent="0.4">
      <c r="A31" s="169" t="s">
        <v>67</v>
      </c>
      <c r="B31" s="176">
        <v>1</v>
      </c>
      <c r="C31" s="375" t="s">
        <v>68</v>
      </c>
      <c r="D31" s="376"/>
      <c r="E31" s="376"/>
      <c r="F31" s="376"/>
      <c r="G31" s="376"/>
      <c r="H31" s="377"/>
      <c r="I31" s="172"/>
      <c r="J31" s="172"/>
      <c r="K31" s="172"/>
      <c r="L31" s="172"/>
    </row>
    <row r="32" spans="1:14" s="14" customFormat="1" ht="27" customHeight="1" x14ac:dyDescent="0.4">
      <c r="A32" s="169" t="s">
        <v>69</v>
      </c>
      <c r="B32" s="176">
        <v>1</v>
      </c>
      <c r="C32" s="375" t="s">
        <v>70</v>
      </c>
      <c r="D32" s="376"/>
      <c r="E32" s="376"/>
      <c r="F32" s="376"/>
      <c r="G32" s="376"/>
      <c r="H32" s="377"/>
      <c r="I32" s="172"/>
      <c r="J32" s="172"/>
      <c r="K32" s="172"/>
      <c r="L32" s="177"/>
      <c r="M32" s="177"/>
      <c r="N32" s="178"/>
    </row>
    <row r="33" spans="1:14" s="14" customFormat="1" ht="17.25" customHeight="1" x14ac:dyDescent="0.3">
      <c r="A33" s="169"/>
      <c r="B33" s="179"/>
      <c r="C33" s="180"/>
      <c r="D33" s="180"/>
      <c r="E33" s="180"/>
      <c r="F33" s="180"/>
      <c r="G33" s="180"/>
      <c r="H33" s="180"/>
      <c r="I33" s="172"/>
      <c r="J33" s="172"/>
      <c r="K33" s="172"/>
      <c r="L33" s="177"/>
      <c r="M33" s="177"/>
      <c r="N33" s="178"/>
    </row>
    <row r="34" spans="1:14" s="14" customFormat="1" ht="18.75" x14ac:dyDescent="0.3">
      <c r="A34" s="169" t="s">
        <v>71</v>
      </c>
      <c r="B34" s="181">
        <f>B31/B32</f>
        <v>1</v>
      </c>
      <c r="C34" s="159" t="s">
        <v>72</v>
      </c>
      <c r="D34" s="159"/>
      <c r="E34" s="159"/>
      <c r="F34" s="159"/>
      <c r="G34" s="159"/>
      <c r="I34" s="172"/>
      <c r="J34" s="172"/>
      <c r="K34" s="172"/>
      <c r="L34" s="177"/>
      <c r="M34" s="177"/>
      <c r="N34" s="178"/>
    </row>
    <row r="35" spans="1:14" s="14" customFormat="1" ht="19.5" customHeight="1" x14ac:dyDescent="0.3">
      <c r="A35" s="169"/>
      <c r="B35" s="173"/>
      <c r="G35" s="159"/>
      <c r="I35" s="172"/>
      <c r="J35" s="172"/>
      <c r="K35" s="172"/>
      <c r="L35" s="177"/>
      <c r="M35" s="177"/>
      <c r="N35" s="178"/>
    </row>
    <row r="36" spans="1:14" s="14" customFormat="1" ht="27" customHeight="1" x14ac:dyDescent="0.4">
      <c r="A36" s="182" t="s">
        <v>73</v>
      </c>
      <c r="B36" s="183">
        <v>100</v>
      </c>
      <c r="C36" s="159"/>
      <c r="D36" s="359" t="s">
        <v>74</v>
      </c>
      <c r="E36" s="398"/>
      <c r="F36" s="359" t="s">
        <v>75</v>
      </c>
      <c r="G36" s="360"/>
      <c r="J36" s="172"/>
      <c r="K36" s="172"/>
      <c r="L36" s="177"/>
      <c r="M36" s="177"/>
      <c r="N36" s="178"/>
    </row>
    <row r="37" spans="1:14" s="14" customFormat="1" ht="27" customHeight="1" x14ac:dyDescent="0.4">
      <c r="A37" s="184" t="s">
        <v>76</v>
      </c>
      <c r="B37" s="185">
        <v>1</v>
      </c>
      <c r="C37" s="186" t="s">
        <v>77</v>
      </c>
      <c r="D37" s="187" t="s">
        <v>78</v>
      </c>
      <c r="E37" s="188" t="s">
        <v>79</v>
      </c>
      <c r="F37" s="187" t="s">
        <v>78</v>
      </c>
      <c r="G37" s="189" t="s">
        <v>79</v>
      </c>
      <c r="I37" s="190" t="s">
        <v>80</v>
      </c>
      <c r="J37" s="172"/>
      <c r="K37" s="172"/>
      <c r="L37" s="177"/>
      <c r="M37" s="177"/>
      <c r="N37" s="178"/>
    </row>
    <row r="38" spans="1:14" s="14" customFormat="1" ht="26.25" customHeight="1" x14ac:dyDescent="0.4">
      <c r="A38" s="184" t="s">
        <v>81</v>
      </c>
      <c r="B38" s="185">
        <v>1</v>
      </c>
      <c r="C38" s="191">
        <v>1</v>
      </c>
      <c r="D38" s="192">
        <v>63701071</v>
      </c>
      <c r="E38" s="193">
        <f>IF(ISBLANK(D38),"-",$D$48/$D$45*D38)</f>
        <v>60968868.23047813</v>
      </c>
      <c r="F38" s="192">
        <v>60761597</v>
      </c>
      <c r="G38" s="194">
        <f>IF(ISBLANK(F38),"-",$D$48/$F$45*F38)</f>
        <v>62182153.265932493</v>
      </c>
      <c r="I38" s="195"/>
      <c r="J38" s="172"/>
      <c r="K38" s="172"/>
      <c r="L38" s="177"/>
      <c r="M38" s="177"/>
      <c r="N38" s="178"/>
    </row>
    <row r="39" spans="1:14" s="14" customFormat="1" ht="26.25" customHeight="1" x14ac:dyDescent="0.4">
      <c r="A39" s="184" t="s">
        <v>82</v>
      </c>
      <c r="B39" s="185">
        <v>1</v>
      </c>
      <c r="C39" s="196">
        <v>2</v>
      </c>
      <c r="D39" s="197">
        <v>62518348</v>
      </c>
      <c r="E39" s="198">
        <f>IF(ISBLANK(D39),"-",$D$48/$D$45*D39)</f>
        <v>59836873.405145355</v>
      </c>
      <c r="F39" s="197">
        <v>61179569</v>
      </c>
      <c r="G39" s="199">
        <f>IF(ISBLANK(F39),"-",$D$48/$F$45*F39)</f>
        <v>62609897.108229272</v>
      </c>
      <c r="I39" s="378">
        <f>ABS((F43/D43*D42)-F42)/D42</f>
        <v>3.1892256669904126E-2</v>
      </c>
      <c r="J39" s="172"/>
      <c r="K39" s="172"/>
      <c r="L39" s="177"/>
      <c r="M39" s="177"/>
      <c r="N39" s="178"/>
    </row>
    <row r="40" spans="1:14" ht="26.25" customHeight="1" x14ac:dyDescent="0.4">
      <c r="A40" s="184" t="s">
        <v>83</v>
      </c>
      <c r="B40" s="185">
        <v>1</v>
      </c>
      <c r="C40" s="196">
        <v>3</v>
      </c>
      <c r="D40" s="197">
        <v>63369960</v>
      </c>
      <c r="E40" s="198">
        <f>IF(ISBLANK(D40),"-",$D$48/$D$45*D40)</f>
        <v>60651958.913071811</v>
      </c>
      <c r="F40" s="197">
        <v>61417552</v>
      </c>
      <c r="G40" s="199">
        <f>IF(ISBLANK(F40),"-",$D$48/$F$45*F40)</f>
        <v>62853443.955437489</v>
      </c>
      <c r="I40" s="378"/>
      <c r="L40" s="177"/>
      <c r="M40" s="177"/>
      <c r="N40" s="200"/>
    </row>
    <row r="41" spans="1:14" ht="27" customHeight="1" x14ac:dyDescent="0.4">
      <c r="A41" s="184" t="s">
        <v>84</v>
      </c>
      <c r="B41" s="185">
        <v>1</v>
      </c>
      <c r="C41" s="201">
        <v>4</v>
      </c>
      <c r="D41" s="202"/>
      <c r="E41" s="203" t="str">
        <f>IF(ISBLANK(D41),"-",$D$48/$D$45*D41)</f>
        <v>-</v>
      </c>
      <c r="F41" s="202"/>
      <c r="G41" s="204" t="str">
        <f>IF(ISBLANK(F41),"-",$D$48/$F$45*F41)</f>
        <v>-</v>
      </c>
      <c r="I41" s="205"/>
      <c r="L41" s="177"/>
      <c r="M41" s="177"/>
      <c r="N41" s="200"/>
    </row>
    <row r="42" spans="1:14" ht="27" customHeight="1" x14ac:dyDescent="0.4">
      <c r="A42" s="184" t="s">
        <v>85</v>
      </c>
      <c r="B42" s="185">
        <v>1</v>
      </c>
      <c r="C42" s="206" t="s">
        <v>86</v>
      </c>
      <c r="D42" s="207">
        <f>AVERAGE(D38:D41)</f>
        <v>63196459.666666664</v>
      </c>
      <c r="E42" s="208">
        <f>AVERAGE(E38:E41)</f>
        <v>60485900.182898432</v>
      </c>
      <c r="F42" s="207">
        <f>AVERAGE(F38:F41)</f>
        <v>61119572.666666664</v>
      </c>
      <c r="G42" s="209">
        <f>AVERAGE(G38:G41)</f>
        <v>62548498.109866418</v>
      </c>
      <c r="H42" s="210"/>
    </row>
    <row r="43" spans="1:14" ht="26.25" customHeight="1" x14ac:dyDescent="0.4">
      <c r="A43" s="184" t="s">
        <v>87</v>
      </c>
      <c r="B43" s="185">
        <v>1</v>
      </c>
      <c r="C43" s="211" t="s">
        <v>88</v>
      </c>
      <c r="D43" s="212">
        <v>26.87</v>
      </c>
      <c r="E43" s="200"/>
      <c r="F43" s="212">
        <v>25.13</v>
      </c>
      <c r="H43" s="210"/>
    </row>
    <row r="44" spans="1:14" ht="26.25" customHeight="1" x14ac:dyDescent="0.4">
      <c r="A44" s="184" t="s">
        <v>89</v>
      </c>
      <c r="B44" s="185">
        <v>1</v>
      </c>
      <c r="C44" s="213" t="s">
        <v>90</v>
      </c>
      <c r="D44" s="214">
        <f>D43*$B$34</f>
        <v>26.87</v>
      </c>
      <c r="E44" s="215"/>
      <c r="F44" s="214">
        <f>F43*$B$34</f>
        <v>25.13</v>
      </c>
      <c r="H44" s="210"/>
    </row>
    <row r="45" spans="1:14" ht="19.5" customHeight="1" x14ac:dyDescent="0.3">
      <c r="A45" s="184" t="s">
        <v>91</v>
      </c>
      <c r="B45" s="216">
        <f>(B44/B43)*(B42/B41)*(B40/B39)*(B38/B37)*B36</f>
        <v>100</v>
      </c>
      <c r="C45" s="213" t="s">
        <v>92</v>
      </c>
      <c r="D45" s="217">
        <f>D44*$B$30/100</f>
        <v>26.120326999999996</v>
      </c>
      <c r="E45" s="218"/>
      <c r="F45" s="217">
        <f>F44*$B$30/100</f>
        <v>24.428872999999999</v>
      </c>
      <c r="H45" s="210"/>
    </row>
    <row r="46" spans="1:14" ht="19.5" customHeight="1" x14ac:dyDescent="0.3">
      <c r="A46" s="367" t="s">
        <v>93</v>
      </c>
      <c r="B46" s="368"/>
      <c r="C46" s="213" t="s">
        <v>94</v>
      </c>
      <c r="D46" s="219">
        <f>D45/$B$45</f>
        <v>0.26120326999999999</v>
      </c>
      <c r="E46" s="220"/>
      <c r="F46" s="221">
        <f>F45/$B$45</f>
        <v>0.24428872999999998</v>
      </c>
      <c r="H46" s="210"/>
    </row>
    <row r="47" spans="1:14" ht="27" customHeight="1" x14ac:dyDescent="0.4">
      <c r="A47" s="369"/>
      <c r="B47" s="370"/>
      <c r="C47" s="222" t="s">
        <v>95</v>
      </c>
      <c r="D47" s="223">
        <v>0.25</v>
      </c>
      <c r="E47" s="224"/>
      <c r="F47" s="220"/>
      <c r="H47" s="210"/>
    </row>
    <row r="48" spans="1:14" ht="18.75" x14ac:dyDescent="0.3">
      <c r="C48" s="225" t="s">
        <v>96</v>
      </c>
      <c r="D48" s="217">
        <f>D47*$B$45</f>
        <v>25</v>
      </c>
      <c r="F48" s="226"/>
      <c r="H48" s="210"/>
    </row>
    <row r="49" spans="1:12" ht="19.5" customHeight="1" x14ac:dyDescent="0.3">
      <c r="C49" s="227" t="s">
        <v>97</v>
      </c>
      <c r="D49" s="228">
        <f>D48/B34</f>
        <v>25</v>
      </c>
      <c r="F49" s="226"/>
      <c r="H49" s="210"/>
    </row>
    <row r="50" spans="1:12" ht="18.75" x14ac:dyDescent="0.3">
      <c r="C50" s="182" t="s">
        <v>98</v>
      </c>
      <c r="D50" s="229">
        <f>AVERAGE(E38:E41,G38:G41)</f>
        <v>61517199.146382421</v>
      </c>
      <c r="F50" s="230"/>
      <c r="H50" s="210"/>
    </row>
    <row r="51" spans="1:12" ht="18.75" x14ac:dyDescent="0.3">
      <c r="C51" s="184" t="s">
        <v>60</v>
      </c>
      <c r="D51" s="231">
        <f>STDEV(E38:E41,G38:G41)/D50</f>
        <v>1.9634342328204168E-2</v>
      </c>
      <c r="F51" s="230"/>
      <c r="H51" s="210"/>
    </row>
    <row r="52" spans="1:12" ht="19.5" customHeight="1" x14ac:dyDescent="0.3">
      <c r="C52" s="232" t="s">
        <v>20</v>
      </c>
      <c r="D52" s="233">
        <f>COUNT(E38:E41,G38:G41)</f>
        <v>6</v>
      </c>
      <c r="F52" s="230"/>
    </row>
    <row r="54" spans="1:12" ht="18.75" x14ac:dyDescent="0.3">
      <c r="A54" s="234" t="s">
        <v>1</v>
      </c>
      <c r="B54" s="235" t="s">
        <v>99</v>
      </c>
    </row>
    <row r="55" spans="1:12" ht="18.75" x14ac:dyDescent="0.3">
      <c r="A55" s="159" t="s">
        <v>49</v>
      </c>
      <c r="B55" s="236" t="str">
        <f>B21</f>
        <v>Each film-coated tablet contains Efavirenz 600mg.</v>
      </c>
    </row>
    <row r="56" spans="1:12" ht="26.25" customHeight="1" x14ac:dyDescent="0.4">
      <c r="A56" s="237" t="s">
        <v>61</v>
      </c>
      <c r="B56" s="238">
        <v>600</v>
      </c>
      <c r="C56" s="159" t="str">
        <f>B20</f>
        <v>EFAVIRENZ</v>
      </c>
      <c r="H56" s="239"/>
    </row>
    <row r="57" spans="1:12" ht="18.75" x14ac:dyDescent="0.3">
      <c r="A57" s="236" t="s">
        <v>62</v>
      </c>
      <c r="B57" s="307">
        <f>Uniformity!C46</f>
        <v>1367.9029999999998</v>
      </c>
      <c r="H57" s="239"/>
    </row>
    <row r="58" spans="1:12" ht="19.5" customHeight="1" x14ac:dyDescent="0.3">
      <c r="H58" s="239"/>
    </row>
    <row r="59" spans="1:12" s="14" customFormat="1" ht="27" customHeight="1" x14ac:dyDescent="0.4">
      <c r="A59" s="182" t="s">
        <v>100</v>
      </c>
      <c r="B59" s="183">
        <v>200</v>
      </c>
      <c r="C59" s="159"/>
      <c r="D59" s="240" t="s">
        <v>101</v>
      </c>
      <c r="E59" s="241" t="s">
        <v>77</v>
      </c>
      <c r="F59" s="241" t="s">
        <v>78</v>
      </c>
      <c r="G59" s="241" t="s">
        <v>102</v>
      </c>
      <c r="H59" s="186" t="s">
        <v>103</v>
      </c>
      <c r="L59" s="172"/>
    </row>
    <row r="60" spans="1:12" s="14" customFormat="1" ht="26.25" customHeight="1" x14ac:dyDescent="0.4">
      <c r="A60" s="184" t="s">
        <v>104</v>
      </c>
      <c r="B60" s="185">
        <v>4</v>
      </c>
      <c r="C60" s="381" t="s">
        <v>105</v>
      </c>
      <c r="D60" s="384">
        <v>1353.43</v>
      </c>
      <c r="E60" s="242">
        <v>1</v>
      </c>
      <c r="F60" s="243">
        <v>55163810</v>
      </c>
      <c r="G60" s="308">
        <f>IF(ISBLANK(F60),"-",(F60/$D$50*$D$47*$B$68)*($B$57/$D$60))</f>
        <v>566.44431253291805</v>
      </c>
      <c r="H60" s="326">
        <f t="shared" ref="H60:H71" si="0">IF(ISBLANK(F60),"-",(G60/$B$56)*100)</f>
        <v>94.407385422153013</v>
      </c>
      <c r="L60" s="172"/>
    </row>
    <row r="61" spans="1:12" s="14" customFormat="1" ht="26.25" customHeight="1" x14ac:dyDescent="0.4">
      <c r="A61" s="184" t="s">
        <v>106</v>
      </c>
      <c r="B61" s="185">
        <v>50</v>
      </c>
      <c r="C61" s="382"/>
      <c r="D61" s="385"/>
      <c r="E61" s="244">
        <v>2</v>
      </c>
      <c r="F61" s="197">
        <v>55875458</v>
      </c>
      <c r="G61" s="309">
        <f>IF(ISBLANK(F61),"-",(F61/$D$50*$D$47*$B$68)*($B$57/$D$60))</f>
        <v>573.7518020287564</v>
      </c>
      <c r="H61" s="327">
        <f t="shared" si="0"/>
        <v>95.625300338126067</v>
      </c>
      <c r="L61" s="172"/>
    </row>
    <row r="62" spans="1:12" s="14" customFormat="1" ht="26.25" customHeight="1" x14ac:dyDescent="0.4">
      <c r="A62" s="184" t="s">
        <v>107</v>
      </c>
      <c r="B62" s="185">
        <v>1</v>
      </c>
      <c r="C62" s="382"/>
      <c r="D62" s="385"/>
      <c r="E62" s="244">
        <v>3</v>
      </c>
      <c r="F62" s="245">
        <v>56431733</v>
      </c>
      <c r="G62" s="309">
        <f>IF(ISBLANK(F62),"-",(F62/$D$50*$D$47*$B$68)*($B$57/$D$60))</f>
        <v>579.46385871871769</v>
      </c>
      <c r="H62" s="327">
        <f t="shared" si="0"/>
        <v>96.577309786452943</v>
      </c>
      <c r="L62" s="172"/>
    </row>
    <row r="63" spans="1:12" ht="27" customHeight="1" x14ac:dyDescent="0.4">
      <c r="A63" s="184" t="s">
        <v>108</v>
      </c>
      <c r="B63" s="185">
        <v>1</v>
      </c>
      <c r="C63" s="391"/>
      <c r="D63" s="386"/>
      <c r="E63" s="246">
        <v>4</v>
      </c>
      <c r="F63" s="247"/>
      <c r="G63" s="309" t="str">
        <f>IF(ISBLANK(F63),"-",(F63/$D$50*$D$47*$B$68)*($B$57/$D$60))</f>
        <v>-</v>
      </c>
      <c r="H63" s="327" t="str">
        <f t="shared" si="0"/>
        <v>-</v>
      </c>
    </row>
    <row r="64" spans="1:12" ht="26.25" customHeight="1" x14ac:dyDescent="0.4">
      <c r="A64" s="184" t="s">
        <v>109</v>
      </c>
      <c r="B64" s="185">
        <v>1</v>
      </c>
      <c r="C64" s="381" t="s">
        <v>110</v>
      </c>
      <c r="D64" s="384">
        <v>1370.13</v>
      </c>
      <c r="E64" s="242">
        <v>1</v>
      </c>
      <c r="F64" s="243">
        <v>56332586</v>
      </c>
      <c r="G64" s="308">
        <f>IF(ISBLANK(F64),"-",(F64/$D$50*$D$47*$B$68)*($B$57/$D$64))</f>
        <v>571.39531888612214</v>
      </c>
      <c r="H64" s="326">
        <f t="shared" si="0"/>
        <v>95.232553147687028</v>
      </c>
    </row>
    <row r="65" spans="1:8" ht="26.25" customHeight="1" x14ac:dyDescent="0.4">
      <c r="A65" s="184" t="s">
        <v>111</v>
      </c>
      <c r="B65" s="185">
        <v>1</v>
      </c>
      <c r="C65" s="382"/>
      <c r="D65" s="385"/>
      <c r="E65" s="244">
        <v>2</v>
      </c>
      <c r="F65" s="197">
        <v>56135114</v>
      </c>
      <c r="G65" s="309">
        <f>IF(ISBLANK(F65),"-",(F65/$D$50*$D$47*$B$68)*($B$57/$D$64))</f>
        <v>569.39231166733271</v>
      </c>
      <c r="H65" s="327">
        <f t="shared" si="0"/>
        <v>94.898718611222122</v>
      </c>
    </row>
    <row r="66" spans="1:8" ht="26.25" customHeight="1" x14ac:dyDescent="0.4">
      <c r="A66" s="184" t="s">
        <v>112</v>
      </c>
      <c r="B66" s="185">
        <v>1</v>
      </c>
      <c r="C66" s="382"/>
      <c r="D66" s="385"/>
      <c r="E66" s="244">
        <v>3</v>
      </c>
      <c r="F66" s="197">
        <v>56246648</v>
      </c>
      <c r="G66" s="309">
        <f>IF(ISBLANK(F66),"-",(F66/$D$50*$D$47*$B$68)*($B$57/$D$64))</f>
        <v>570.52362854841181</v>
      </c>
      <c r="H66" s="327">
        <f t="shared" si="0"/>
        <v>95.087271424735292</v>
      </c>
    </row>
    <row r="67" spans="1:8" ht="27" customHeight="1" x14ac:dyDescent="0.4">
      <c r="A67" s="184" t="s">
        <v>113</v>
      </c>
      <c r="B67" s="185">
        <v>1</v>
      </c>
      <c r="C67" s="391"/>
      <c r="D67" s="386"/>
      <c r="E67" s="246">
        <v>4</v>
      </c>
      <c r="F67" s="247"/>
      <c r="G67" s="325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184" t="s">
        <v>114</v>
      </c>
      <c r="B68" s="248">
        <f>(B67/B66)*(B65/B64)*(B63/B62)*(B61/B60)*B59</f>
        <v>2500</v>
      </c>
      <c r="C68" s="381" t="s">
        <v>115</v>
      </c>
      <c r="D68" s="384">
        <v>1379.24</v>
      </c>
      <c r="E68" s="242">
        <v>1</v>
      </c>
      <c r="F68" s="243">
        <v>58111648</v>
      </c>
      <c r="G68" s="308">
        <f>IF(ISBLANK(F68),"-",(F68/$D$50*$D$47*$B$68)*($B$57/$D$68))</f>
        <v>585.54747612994015</v>
      </c>
      <c r="H68" s="327">
        <f t="shared" si="0"/>
        <v>97.591246021656701</v>
      </c>
    </row>
    <row r="69" spans="1:8" ht="27" customHeight="1" x14ac:dyDescent="0.4">
      <c r="A69" s="232" t="s">
        <v>116</v>
      </c>
      <c r="B69" s="249">
        <f>(D47*B68)/B56*B57</f>
        <v>1424.8989583333332</v>
      </c>
      <c r="C69" s="382"/>
      <c r="D69" s="385"/>
      <c r="E69" s="244">
        <v>2</v>
      </c>
      <c r="F69" s="197">
        <v>57800611</v>
      </c>
      <c r="G69" s="309">
        <f>IF(ISBLANK(F69),"-",(F69/$D$50*$D$47*$B$68)*($B$57/$D$68))</f>
        <v>582.41338964984175</v>
      </c>
      <c r="H69" s="327">
        <f t="shared" si="0"/>
        <v>97.06889827497362</v>
      </c>
    </row>
    <row r="70" spans="1:8" ht="26.25" customHeight="1" x14ac:dyDescent="0.4">
      <c r="A70" s="387" t="s">
        <v>93</v>
      </c>
      <c r="B70" s="388"/>
      <c r="C70" s="382"/>
      <c r="D70" s="385"/>
      <c r="E70" s="244">
        <v>3</v>
      </c>
      <c r="F70" s="197">
        <v>57900503</v>
      </c>
      <c r="G70" s="309">
        <f>IF(ISBLANK(F70),"-",(F70/$D$50*$D$47*$B$68)*($B$57/$D$68))</f>
        <v>583.41992638556781</v>
      </c>
      <c r="H70" s="327">
        <f t="shared" si="0"/>
        <v>97.236654397594634</v>
      </c>
    </row>
    <row r="71" spans="1:8" ht="27" customHeight="1" x14ac:dyDescent="0.4">
      <c r="A71" s="389"/>
      <c r="B71" s="390"/>
      <c r="C71" s="383"/>
      <c r="D71" s="386"/>
      <c r="E71" s="246">
        <v>4</v>
      </c>
      <c r="F71" s="247"/>
      <c r="G71" s="325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">
      <c r="A72" s="250"/>
      <c r="B72" s="250"/>
      <c r="C72" s="250"/>
      <c r="D72" s="250"/>
      <c r="E72" s="250"/>
      <c r="F72" s="252" t="s">
        <v>86</v>
      </c>
      <c r="G72" s="314">
        <f>AVERAGE(G60:G71)</f>
        <v>575.81689161640088</v>
      </c>
      <c r="H72" s="329">
        <f>AVERAGE(H60:H71)</f>
        <v>95.969481936066842</v>
      </c>
    </row>
    <row r="73" spans="1:8" ht="26.25" customHeight="1" x14ac:dyDescent="0.4">
      <c r="C73" s="250"/>
      <c r="D73" s="250"/>
      <c r="E73" s="250"/>
      <c r="F73" s="253" t="s">
        <v>60</v>
      </c>
      <c r="G73" s="313">
        <f>STDEV(G60:G71)/G72</f>
        <v>1.2129609776714727E-2</v>
      </c>
      <c r="H73" s="313">
        <f>STDEV(H60:H71)/H72</f>
        <v>1.2129609776714722E-2</v>
      </c>
    </row>
    <row r="74" spans="1:8" ht="27" customHeight="1" x14ac:dyDescent="0.4">
      <c r="A74" s="250"/>
      <c r="B74" s="250"/>
      <c r="C74" s="251"/>
      <c r="D74" s="251"/>
      <c r="E74" s="254"/>
      <c r="F74" s="255" t="s">
        <v>20</v>
      </c>
      <c r="G74" s="256">
        <f>COUNT(G60:G71)</f>
        <v>9</v>
      </c>
      <c r="H74" s="256">
        <f>COUNT(H60:H71)</f>
        <v>9</v>
      </c>
    </row>
    <row r="76" spans="1:8" ht="26.25" customHeight="1" x14ac:dyDescent="0.4">
      <c r="A76" s="168" t="s">
        <v>117</v>
      </c>
      <c r="B76" s="257" t="s">
        <v>118</v>
      </c>
      <c r="C76" s="371" t="str">
        <f>B26</f>
        <v>EFAVIRENZ</v>
      </c>
      <c r="D76" s="371"/>
      <c r="E76" s="258" t="s">
        <v>119</v>
      </c>
      <c r="F76" s="258"/>
      <c r="G76" s="342">
        <f>H72</f>
        <v>95.969481936066842</v>
      </c>
      <c r="H76" s="260"/>
    </row>
    <row r="77" spans="1:8" ht="18.75" x14ac:dyDescent="0.3">
      <c r="A77" s="167" t="s">
        <v>120</v>
      </c>
      <c r="B77" s="167" t="s">
        <v>121</v>
      </c>
    </row>
    <row r="78" spans="1:8" ht="18.75" x14ac:dyDescent="0.3">
      <c r="A78" s="167"/>
      <c r="B78" s="167"/>
    </row>
    <row r="79" spans="1:8" ht="26.25" customHeight="1" x14ac:dyDescent="0.4">
      <c r="A79" s="168" t="s">
        <v>4</v>
      </c>
      <c r="B79" s="363" t="str">
        <f>B26</f>
        <v>EFAVIRENZ</v>
      </c>
      <c r="C79" s="363"/>
    </row>
    <row r="80" spans="1:8" ht="26.25" customHeight="1" x14ac:dyDescent="0.4">
      <c r="A80" s="169" t="s">
        <v>63</v>
      </c>
      <c r="B80" s="363" t="str">
        <f>B27</f>
        <v>E15-6</v>
      </c>
      <c r="C80" s="363"/>
    </row>
    <row r="81" spans="1:12" ht="27" customHeight="1" x14ac:dyDescent="0.4">
      <c r="A81" s="169" t="s">
        <v>6</v>
      </c>
      <c r="B81" s="261">
        <f>B28</f>
        <v>97.21</v>
      </c>
    </row>
    <row r="82" spans="1:12" s="14" customFormat="1" ht="27" customHeight="1" x14ac:dyDescent="0.4">
      <c r="A82" s="169" t="s">
        <v>64</v>
      </c>
      <c r="B82" s="171">
        <v>0</v>
      </c>
      <c r="C82" s="372" t="s">
        <v>65</v>
      </c>
      <c r="D82" s="373"/>
      <c r="E82" s="373"/>
      <c r="F82" s="373"/>
      <c r="G82" s="374"/>
      <c r="I82" s="172"/>
      <c r="J82" s="172"/>
      <c r="K82" s="172"/>
      <c r="L82" s="172"/>
    </row>
    <row r="83" spans="1:12" s="14" customFormat="1" ht="19.5" customHeight="1" x14ac:dyDescent="0.3">
      <c r="A83" s="169" t="s">
        <v>66</v>
      </c>
      <c r="B83" s="173">
        <f>B81-B82</f>
        <v>97.21</v>
      </c>
      <c r="C83" s="174"/>
      <c r="D83" s="174"/>
      <c r="E83" s="174"/>
      <c r="F83" s="174"/>
      <c r="G83" s="175"/>
      <c r="I83" s="172"/>
      <c r="J83" s="172"/>
      <c r="K83" s="172"/>
      <c r="L83" s="172"/>
    </row>
    <row r="84" spans="1:12" s="14" customFormat="1" ht="27" customHeight="1" x14ac:dyDescent="0.4">
      <c r="A84" s="169" t="s">
        <v>67</v>
      </c>
      <c r="B84" s="176">
        <v>1</v>
      </c>
      <c r="C84" s="375" t="s">
        <v>122</v>
      </c>
      <c r="D84" s="376"/>
      <c r="E84" s="376"/>
      <c r="F84" s="376"/>
      <c r="G84" s="376"/>
      <c r="H84" s="377"/>
      <c r="I84" s="172"/>
      <c r="J84" s="172"/>
      <c r="K84" s="172"/>
      <c r="L84" s="172"/>
    </row>
    <row r="85" spans="1:12" s="14" customFormat="1" ht="27" customHeight="1" x14ac:dyDescent="0.4">
      <c r="A85" s="169" t="s">
        <v>69</v>
      </c>
      <c r="B85" s="176">
        <v>1</v>
      </c>
      <c r="C85" s="375" t="s">
        <v>123</v>
      </c>
      <c r="D85" s="376"/>
      <c r="E85" s="376"/>
      <c r="F85" s="376"/>
      <c r="G85" s="376"/>
      <c r="H85" s="377"/>
      <c r="I85" s="172"/>
      <c r="J85" s="172"/>
      <c r="K85" s="172"/>
      <c r="L85" s="172"/>
    </row>
    <row r="86" spans="1:12" s="14" customFormat="1" ht="18.75" x14ac:dyDescent="0.3">
      <c r="A86" s="169"/>
      <c r="B86" s="179"/>
      <c r="C86" s="180"/>
      <c r="D86" s="180"/>
      <c r="E86" s="180"/>
      <c r="F86" s="180"/>
      <c r="G86" s="180"/>
      <c r="H86" s="180"/>
      <c r="I86" s="172"/>
      <c r="J86" s="172"/>
      <c r="K86" s="172"/>
      <c r="L86" s="172"/>
    </row>
    <row r="87" spans="1:12" s="14" customFormat="1" ht="18.75" x14ac:dyDescent="0.3">
      <c r="A87" s="169" t="s">
        <v>71</v>
      </c>
      <c r="B87" s="181">
        <f>B84/B85</f>
        <v>1</v>
      </c>
      <c r="C87" s="159" t="s">
        <v>72</v>
      </c>
      <c r="D87" s="159"/>
      <c r="E87" s="159"/>
      <c r="F87" s="159"/>
      <c r="G87" s="159"/>
      <c r="I87" s="172"/>
      <c r="J87" s="172"/>
      <c r="K87" s="172"/>
      <c r="L87" s="172"/>
    </row>
    <row r="88" spans="1:12" ht="19.5" customHeight="1" x14ac:dyDescent="0.3">
      <c r="A88" s="167"/>
      <c r="B88" s="167"/>
    </row>
    <row r="89" spans="1:12" ht="27" customHeight="1" x14ac:dyDescent="0.4">
      <c r="A89" s="182" t="s">
        <v>73</v>
      </c>
      <c r="B89" s="183">
        <v>50</v>
      </c>
      <c r="D89" s="262" t="s">
        <v>74</v>
      </c>
      <c r="E89" s="263"/>
      <c r="F89" s="359" t="s">
        <v>75</v>
      </c>
      <c r="G89" s="360"/>
    </row>
    <row r="90" spans="1:12" ht="27" customHeight="1" x14ac:dyDescent="0.4">
      <c r="A90" s="184" t="s">
        <v>76</v>
      </c>
      <c r="B90" s="185">
        <v>3</v>
      </c>
      <c r="C90" s="264" t="s">
        <v>77</v>
      </c>
      <c r="D90" s="187" t="s">
        <v>78</v>
      </c>
      <c r="E90" s="188" t="s">
        <v>79</v>
      </c>
      <c r="F90" s="187" t="s">
        <v>78</v>
      </c>
      <c r="G90" s="265" t="s">
        <v>79</v>
      </c>
      <c r="I90" s="190" t="s">
        <v>80</v>
      </c>
    </row>
    <row r="91" spans="1:12" ht="26.25" customHeight="1" x14ac:dyDescent="0.4">
      <c r="A91" s="184" t="s">
        <v>81</v>
      </c>
      <c r="B91" s="185">
        <v>100</v>
      </c>
      <c r="C91" s="266">
        <v>1</v>
      </c>
      <c r="D91" s="192">
        <v>0.51500000000000001</v>
      </c>
      <c r="E91" s="193">
        <f>IF(ISBLANK(D91),"-",$D$101/$D$98*D91)</f>
        <v>0.56996329934378409</v>
      </c>
      <c r="F91" s="192">
        <v>0.60099999999999998</v>
      </c>
      <c r="G91" s="194">
        <f>IF(ISBLANK(F91),"-",$D$101/$F$98*F91)</f>
        <v>0.5600082892408339</v>
      </c>
      <c r="I91" s="195"/>
    </row>
    <row r="92" spans="1:12" ht="26.25" customHeight="1" x14ac:dyDescent="0.4">
      <c r="A92" s="184" t="s">
        <v>82</v>
      </c>
      <c r="B92" s="185">
        <v>1</v>
      </c>
      <c r="C92" s="251">
        <v>2</v>
      </c>
      <c r="D92" s="197">
        <v>0.51500000000000001</v>
      </c>
      <c r="E92" s="198">
        <f>IF(ISBLANK(D92),"-",$D$101/$D$98*D92)</f>
        <v>0.56996329934378409</v>
      </c>
      <c r="F92" s="197">
        <v>0.6</v>
      </c>
      <c r="G92" s="199">
        <f>IF(ISBLANK(F92),"-",$D$101/$F$98*F92)</f>
        <v>0.55907649508236335</v>
      </c>
      <c r="I92" s="378">
        <f>ABS((F96/D96*D95)-F95)/D95</f>
        <v>2.1392299510297912E-2</v>
      </c>
    </row>
    <row r="93" spans="1:12" ht="26.25" customHeight="1" x14ac:dyDescent="0.4">
      <c r="A93" s="184" t="s">
        <v>83</v>
      </c>
      <c r="B93" s="185">
        <v>1</v>
      </c>
      <c r="C93" s="251">
        <v>3</v>
      </c>
      <c r="D93" s="197">
        <v>0.51500000000000001</v>
      </c>
      <c r="E93" s="198">
        <f>IF(ISBLANK(D93),"-",$D$101/$D$98*D93)</f>
        <v>0.56996329934378409</v>
      </c>
      <c r="F93" s="197">
        <v>0.60099999999999998</v>
      </c>
      <c r="G93" s="199">
        <f>IF(ISBLANK(F93),"-",$D$101/$F$98*F93)</f>
        <v>0.5600082892408339</v>
      </c>
      <c r="I93" s="378"/>
    </row>
    <row r="94" spans="1:12" ht="27" customHeight="1" x14ac:dyDescent="0.4">
      <c r="A94" s="184" t="s">
        <v>84</v>
      </c>
      <c r="B94" s="185">
        <v>1</v>
      </c>
      <c r="C94" s="267">
        <v>4</v>
      </c>
      <c r="D94" s="202"/>
      <c r="E94" s="203" t="str">
        <f>IF(ISBLANK(D94),"-",$D$101/$D$98*D94)</f>
        <v>-</v>
      </c>
      <c r="F94" s="268"/>
      <c r="G94" s="204" t="str">
        <f>IF(ISBLANK(F94),"-",$D$101/$F$98*F94)</f>
        <v>-</v>
      </c>
      <c r="I94" s="205"/>
    </row>
    <row r="95" spans="1:12" ht="27" customHeight="1" x14ac:dyDescent="0.4">
      <c r="A95" s="184" t="s">
        <v>85</v>
      </c>
      <c r="B95" s="185">
        <v>1</v>
      </c>
      <c r="C95" s="269" t="s">
        <v>86</v>
      </c>
      <c r="D95" s="270">
        <f>AVERAGE(D91:D94)</f>
        <v>0.51500000000000001</v>
      </c>
      <c r="E95" s="208">
        <f>AVERAGE(E91:E94)</f>
        <v>0.56996329934378409</v>
      </c>
      <c r="F95" s="271">
        <f>AVERAGE(F91:F94)</f>
        <v>0.60066666666666668</v>
      </c>
      <c r="G95" s="272">
        <f>AVERAGE(G91:G94)</f>
        <v>0.55969769118801038</v>
      </c>
    </row>
    <row r="96" spans="1:12" ht="26.25" customHeight="1" x14ac:dyDescent="0.4">
      <c r="A96" s="184" t="s">
        <v>87</v>
      </c>
      <c r="B96" s="170">
        <v>1</v>
      </c>
      <c r="C96" s="273" t="s">
        <v>124</v>
      </c>
      <c r="D96" s="274">
        <v>18.59</v>
      </c>
      <c r="E96" s="200"/>
      <c r="F96" s="212">
        <v>22.08</v>
      </c>
    </row>
    <row r="97" spans="1:10" ht="26.25" customHeight="1" x14ac:dyDescent="0.4">
      <c r="A97" s="184" t="s">
        <v>89</v>
      </c>
      <c r="B97" s="170">
        <v>1</v>
      </c>
      <c r="C97" s="275" t="s">
        <v>125</v>
      </c>
      <c r="D97" s="276">
        <f>D96*$B$87</f>
        <v>18.59</v>
      </c>
      <c r="E97" s="215"/>
      <c r="F97" s="214">
        <f>F96*$B$87</f>
        <v>22.08</v>
      </c>
    </row>
    <row r="98" spans="1:10" ht="19.5" customHeight="1" x14ac:dyDescent="0.3">
      <c r="A98" s="184" t="s">
        <v>91</v>
      </c>
      <c r="B98" s="277">
        <f>(B97/B96)*(B95/B94)*(B93/B92)*(B91/B90)*B89</f>
        <v>1666.6666666666667</v>
      </c>
      <c r="C98" s="275" t="s">
        <v>126</v>
      </c>
      <c r="D98" s="278">
        <f>D97*$B$83/100</f>
        <v>18.071338999999998</v>
      </c>
      <c r="E98" s="218"/>
      <c r="F98" s="217">
        <f>F97*$B$83/100</f>
        <v>21.463967999999994</v>
      </c>
    </row>
    <row r="99" spans="1:10" ht="19.5" customHeight="1" x14ac:dyDescent="0.3">
      <c r="A99" s="367" t="s">
        <v>93</v>
      </c>
      <c r="B99" s="379"/>
      <c r="C99" s="275" t="s">
        <v>127</v>
      </c>
      <c r="D99" s="279">
        <f>D98/$B$98</f>
        <v>1.0842803399999998E-2</v>
      </c>
      <c r="E99" s="218"/>
      <c r="F99" s="221">
        <f>F98/$B$98</f>
        <v>1.2878380799999995E-2</v>
      </c>
      <c r="G99" s="280"/>
      <c r="H99" s="210"/>
    </row>
    <row r="100" spans="1:10" ht="19.5" customHeight="1" x14ac:dyDescent="0.3">
      <c r="A100" s="369"/>
      <c r="B100" s="380"/>
      <c r="C100" s="275" t="s">
        <v>95</v>
      </c>
      <c r="D100" s="281">
        <f>$B$56/$B$116</f>
        <v>1.2E-2</v>
      </c>
      <c r="F100" s="226"/>
      <c r="G100" s="282"/>
      <c r="H100" s="210"/>
    </row>
    <row r="101" spans="1:10" ht="18.75" x14ac:dyDescent="0.3">
      <c r="C101" s="275" t="s">
        <v>96</v>
      </c>
      <c r="D101" s="276">
        <f>D100*$B$98</f>
        <v>20</v>
      </c>
      <c r="F101" s="226"/>
      <c r="G101" s="280"/>
      <c r="H101" s="210"/>
    </row>
    <row r="102" spans="1:10" ht="19.5" customHeight="1" x14ac:dyDescent="0.3">
      <c r="C102" s="283" t="s">
        <v>97</v>
      </c>
      <c r="D102" s="284">
        <f>D101/B34</f>
        <v>20</v>
      </c>
      <c r="F102" s="230"/>
      <c r="G102" s="280"/>
      <c r="H102" s="210"/>
      <c r="J102" s="285"/>
    </row>
    <row r="103" spans="1:10" ht="18.75" x14ac:dyDescent="0.3">
      <c r="C103" s="286" t="s">
        <v>128</v>
      </c>
      <c r="D103" s="287">
        <f>AVERAGE(E91:E94,G91:G94)</f>
        <v>0.56483049526589724</v>
      </c>
      <c r="F103" s="230"/>
      <c r="G103" s="288"/>
      <c r="H103" s="210"/>
      <c r="J103" s="289"/>
    </row>
    <row r="104" spans="1:10" ht="18.75" x14ac:dyDescent="0.3">
      <c r="C104" s="253" t="s">
        <v>60</v>
      </c>
      <c r="D104" s="290">
        <f>STDEV(E91:E94,G91:G94)/D103</f>
        <v>9.9728861133340421E-3</v>
      </c>
      <c r="F104" s="230"/>
      <c r="G104" s="280"/>
      <c r="H104" s="210"/>
      <c r="J104" s="289"/>
    </row>
    <row r="105" spans="1:10" ht="19.5" customHeight="1" x14ac:dyDescent="0.3">
      <c r="C105" s="255" t="s">
        <v>20</v>
      </c>
      <c r="D105" s="291">
        <f>COUNT(E91:E94,G91:G94)</f>
        <v>6</v>
      </c>
      <c r="F105" s="230"/>
      <c r="G105" s="280"/>
      <c r="H105" s="210"/>
      <c r="J105" s="289"/>
    </row>
    <row r="106" spans="1:10" ht="19.5" customHeight="1" x14ac:dyDescent="0.3">
      <c r="A106" s="234"/>
      <c r="B106" s="234"/>
      <c r="C106" s="234"/>
      <c r="D106" s="234"/>
      <c r="E106" s="234"/>
    </row>
    <row r="107" spans="1:10" ht="27" customHeight="1" x14ac:dyDescent="0.4">
      <c r="A107" s="182" t="s">
        <v>129</v>
      </c>
      <c r="B107" s="183">
        <v>1000</v>
      </c>
      <c r="C107" s="330" t="s">
        <v>130</v>
      </c>
      <c r="D107" s="330" t="s">
        <v>78</v>
      </c>
      <c r="E107" s="330" t="s">
        <v>131</v>
      </c>
      <c r="F107" s="292" t="s">
        <v>132</v>
      </c>
    </row>
    <row r="108" spans="1:10" ht="26.25" customHeight="1" x14ac:dyDescent="0.4">
      <c r="A108" s="184" t="s">
        <v>133</v>
      </c>
      <c r="B108" s="185">
        <v>2</v>
      </c>
      <c r="C108" s="333">
        <v>1</v>
      </c>
      <c r="D108" s="343">
        <v>0.55600000000000005</v>
      </c>
      <c r="E108" s="310">
        <f t="shared" ref="E108:E113" si="1">IF(ISBLANK(D108),"-",D108/$D$103*$D$100*$B$116)</f>
        <v>590.61966872549237</v>
      </c>
      <c r="F108" s="334">
        <f t="shared" ref="F108:F113" si="2">IF(ISBLANK(D108), "-", (E108/$B$56)*100)</f>
        <v>98.43661145424872</v>
      </c>
    </row>
    <row r="109" spans="1:10" ht="26.25" customHeight="1" x14ac:dyDescent="0.4">
      <c r="A109" s="184" t="s">
        <v>106</v>
      </c>
      <c r="B109" s="185">
        <v>100</v>
      </c>
      <c r="C109" s="331">
        <v>2</v>
      </c>
      <c r="D109" s="344">
        <v>0.55500000000000005</v>
      </c>
      <c r="E109" s="311">
        <f t="shared" si="1"/>
        <v>589.55740313425952</v>
      </c>
      <c r="F109" s="335">
        <f t="shared" si="2"/>
        <v>98.259567189043253</v>
      </c>
    </row>
    <row r="110" spans="1:10" ht="26.25" customHeight="1" x14ac:dyDescent="0.4">
      <c r="A110" s="184" t="s">
        <v>107</v>
      </c>
      <c r="B110" s="185">
        <v>1</v>
      </c>
      <c r="C110" s="331">
        <v>3</v>
      </c>
      <c r="D110" s="344">
        <v>0.56799999999999995</v>
      </c>
      <c r="E110" s="311">
        <f t="shared" si="1"/>
        <v>603.36685582028713</v>
      </c>
      <c r="F110" s="335">
        <f t="shared" si="2"/>
        <v>100.56114263671452</v>
      </c>
    </row>
    <row r="111" spans="1:10" ht="26.25" customHeight="1" x14ac:dyDescent="0.4">
      <c r="A111" s="184" t="s">
        <v>108</v>
      </c>
      <c r="B111" s="185">
        <v>1</v>
      </c>
      <c r="C111" s="331">
        <v>4</v>
      </c>
      <c r="D111" s="344">
        <v>0.56100000000000005</v>
      </c>
      <c r="E111" s="311">
        <f t="shared" si="1"/>
        <v>595.93099668165689</v>
      </c>
      <c r="F111" s="335">
        <f t="shared" si="2"/>
        <v>99.321832780276154</v>
      </c>
    </row>
    <row r="112" spans="1:10" ht="26.25" customHeight="1" x14ac:dyDescent="0.4">
      <c r="A112" s="184" t="s">
        <v>109</v>
      </c>
      <c r="B112" s="185">
        <v>1</v>
      </c>
      <c r="C112" s="331">
        <v>5</v>
      </c>
      <c r="D112" s="344">
        <v>0.56399999999999995</v>
      </c>
      <c r="E112" s="311">
        <f t="shared" si="1"/>
        <v>599.11779345535558</v>
      </c>
      <c r="F112" s="335">
        <f t="shared" si="2"/>
        <v>99.852965575892597</v>
      </c>
    </row>
    <row r="113" spans="1:10" ht="27" customHeight="1" x14ac:dyDescent="0.4">
      <c r="A113" s="184" t="s">
        <v>111</v>
      </c>
      <c r="B113" s="185">
        <v>1</v>
      </c>
      <c r="C113" s="332">
        <v>6</v>
      </c>
      <c r="D113" s="345">
        <v>0.55700000000000005</v>
      </c>
      <c r="E113" s="312">
        <f t="shared" si="1"/>
        <v>591.68193431672535</v>
      </c>
      <c r="F113" s="336">
        <f t="shared" si="2"/>
        <v>98.613655719454229</v>
      </c>
    </row>
    <row r="114" spans="1:10" ht="27" customHeight="1" x14ac:dyDescent="0.4">
      <c r="A114" s="184" t="s">
        <v>112</v>
      </c>
      <c r="B114" s="185">
        <v>1</v>
      </c>
      <c r="C114" s="293"/>
      <c r="D114" s="251"/>
      <c r="E114" s="158"/>
      <c r="F114" s="337"/>
    </row>
    <row r="115" spans="1:10" ht="26.25" customHeight="1" x14ac:dyDescent="0.4">
      <c r="A115" s="184" t="s">
        <v>113</v>
      </c>
      <c r="B115" s="185">
        <v>1</v>
      </c>
      <c r="C115" s="293"/>
      <c r="D115" s="317" t="s">
        <v>86</v>
      </c>
      <c r="E115" s="319">
        <f>AVERAGE(E108:E113)</f>
        <v>595.04577535562942</v>
      </c>
      <c r="F115" s="338">
        <f>AVERAGE(F108:F113)</f>
        <v>99.174295892604917</v>
      </c>
    </row>
    <row r="116" spans="1:10" ht="27" customHeight="1" x14ac:dyDescent="0.4">
      <c r="A116" s="184" t="s">
        <v>114</v>
      </c>
      <c r="B116" s="216">
        <f>(B115/B114)*(B113/B112)*(B111/B110)*(B109/B108)*B107</f>
        <v>50000</v>
      </c>
      <c r="C116" s="294"/>
      <c r="D116" s="318" t="s">
        <v>60</v>
      </c>
      <c r="E116" s="316">
        <f>STDEV(E108:E113)/E115</f>
        <v>9.1318115163479471E-3</v>
      </c>
      <c r="F116" s="295">
        <f>STDEV(F108:F113)/F115</f>
        <v>9.1318115163479575E-3</v>
      </c>
      <c r="I116" s="158"/>
    </row>
    <row r="117" spans="1:10" ht="27" customHeight="1" x14ac:dyDescent="0.4">
      <c r="A117" s="367" t="s">
        <v>93</v>
      </c>
      <c r="B117" s="368"/>
      <c r="C117" s="296"/>
      <c r="D117" s="255" t="s">
        <v>20</v>
      </c>
      <c r="E117" s="321">
        <f>COUNT(E108:E113)</f>
        <v>6</v>
      </c>
      <c r="F117" s="322">
        <f>COUNT(F108:F113)</f>
        <v>6</v>
      </c>
      <c r="I117" s="158"/>
      <c r="J117" s="289"/>
    </row>
    <row r="118" spans="1:10" ht="26.25" customHeight="1" x14ac:dyDescent="0.3">
      <c r="A118" s="369"/>
      <c r="B118" s="370"/>
      <c r="C118" s="158"/>
      <c r="D118" s="320"/>
      <c r="E118" s="392" t="s">
        <v>134</v>
      </c>
      <c r="F118" s="393"/>
      <c r="G118" s="158"/>
      <c r="H118" s="158"/>
      <c r="I118" s="158"/>
    </row>
    <row r="119" spans="1:10" ht="25.5" customHeight="1" x14ac:dyDescent="0.4">
      <c r="A119" s="305"/>
      <c r="B119" s="180"/>
      <c r="C119" s="158"/>
      <c r="D119" s="318" t="s">
        <v>135</v>
      </c>
      <c r="E119" s="323">
        <f>MIN(E108:E113)</f>
        <v>589.55740313425952</v>
      </c>
      <c r="F119" s="339">
        <f>MIN(F108:F113)</f>
        <v>98.259567189043253</v>
      </c>
      <c r="G119" s="158"/>
      <c r="H119" s="158"/>
      <c r="I119" s="158"/>
    </row>
    <row r="120" spans="1:10" ht="24" customHeight="1" x14ac:dyDescent="0.4">
      <c r="A120" s="305"/>
      <c r="B120" s="180"/>
      <c r="C120" s="158"/>
      <c r="D120" s="227" t="s">
        <v>136</v>
      </c>
      <c r="E120" s="324">
        <f>MAX(E108:E113)</f>
        <v>603.36685582028713</v>
      </c>
      <c r="F120" s="340">
        <f>MAX(F108:F113)</f>
        <v>100.56114263671452</v>
      </c>
      <c r="G120" s="158"/>
      <c r="H120" s="158"/>
      <c r="I120" s="158"/>
    </row>
    <row r="121" spans="1:10" ht="27" customHeight="1" x14ac:dyDescent="0.3">
      <c r="A121" s="305"/>
      <c r="B121" s="180"/>
      <c r="C121" s="158"/>
      <c r="D121" s="158"/>
      <c r="E121" s="158"/>
      <c r="F121" s="251"/>
      <c r="G121" s="158"/>
      <c r="H121" s="158"/>
      <c r="I121" s="158"/>
    </row>
    <row r="122" spans="1:10" ht="25.5" customHeight="1" x14ac:dyDescent="0.3">
      <c r="A122" s="305"/>
      <c r="B122" s="180"/>
      <c r="C122" s="158"/>
      <c r="D122" s="158"/>
      <c r="E122" s="158"/>
      <c r="F122" s="251"/>
      <c r="G122" s="158"/>
      <c r="H122" s="158"/>
      <c r="I122" s="158"/>
    </row>
    <row r="123" spans="1:10" ht="18.75" x14ac:dyDescent="0.3">
      <c r="A123" s="305"/>
      <c r="B123" s="180"/>
      <c r="C123" s="158"/>
      <c r="D123" s="158"/>
      <c r="E123" s="158"/>
      <c r="F123" s="251"/>
      <c r="G123" s="158"/>
      <c r="H123" s="158"/>
      <c r="I123" s="158"/>
    </row>
    <row r="124" spans="1:10" ht="45.75" customHeight="1" x14ac:dyDescent="0.65">
      <c r="A124" s="168" t="s">
        <v>117</v>
      </c>
      <c r="B124" s="257" t="s">
        <v>137</v>
      </c>
      <c r="C124" s="371" t="str">
        <f>B26</f>
        <v>EFAVIRENZ</v>
      </c>
      <c r="D124" s="371"/>
      <c r="E124" s="258" t="s">
        <v>138</v>
      </c>
      <c r="F124" s="258"/>
      <c r="G124" s="341">
        <f>F115</f>
        <v>99.174295892604917</v>
      </c>
      <c r="H124" s="158"/>
      <c r="I124" s="158"/>
    </row>
    <row r="125" spans="1:10" ht="45.75" customHeight="1" x14ac:dyDescent="0.65">
      <c r="A125" s="168"/>
      <c r="B125" s="257" t="s">
        <v>139</v>
      </c>
      <c r="C125" s="169" t="s">
        <v>140</v>
      </c>
      <c r="D125" s="341">
        <f>MIN(F108:F113)</f>
        <v>98.259567189043253</v>
      </c>
      <c r="E125" s="269" t="s">
        <v>141</v>
      </c>
      <c r="F125" s="341">
        <f>MAX(F108:F113)</f>
        <v>100.56114263671452</v>
      </c>
      <c r="G125" s="259"/>
      <c r="H125" s="158"/>
      <c r="I125" s="158"/>
    </row>
    <row r="126" spans="1:10" ht="19.5" customHeight="1" x14ac:dyDescent="0.3">
      <c r="A126" s="297"/>
      <c r="B126" s="297"/>
      <c r="C126" s="298"/>
      <c r="D126" s="298"/>
      <c r="E126" s="298"/>
      <c r="F126" s="298"/>
      <c r="G126" s="298"/>
      <c r="H126" s="298"/>
    </row>
    <row r="127" spans="1:10" ht="18.75" x14ac:dyDescent="0.3">
      <c r="B127" s="358" t="s">
        <v>26</v>
      </c>
      <c r="C127" s="358"/>
      <c r="E127" s="264" t="s">
        <v>27</v>
      </c>
      <c r="F127" s="299"/>
      <c r="G127" s="358" t="s">
        <v>28</v>
      </c>
      <c r="H127" s="358"/>
    </row>
    <row r="128" spans="1:10" ht="69.95" customHeight="1" x14ac:dyDescent="0.3">
      <c r="A128" s="300" t="s">
        <v>29</v>
      </c>
      <c r="B128" s="301"/>
      <c r="C128" s="301"/>
      <c r="E128" s="301"/>
      <c r="F128" s="158"/>
      <c r="G128" s="302"/>
      <c r="H128" s="302"/>
    </row>
    <row r="129" spans="1:9" ht="69.95" customHeight="1" x14ac:dyDescent="0.3">
      <c r="A129" s="300" t="s">
        <v>30</v>
      </c>
      <c r="B129" s="303"/>
      <c r="C129" s="303"/>
      <c r="E129" s="303"/>
      <c r="F129" s="158"/>
      <c r="G129" s="304"/>
      <c r="H129" s="304"/>
    </row>
    <row r="130" spans="1:9" ht="18.75" x14ac:dyDescent="0.3">
      <c r="A130" s="250"/>
      <c r="B130" s="250"/>
      <c r="C130" s="251"/>
      <c r="D130" s="251"/>
      <c r="E130" s="251"/>
      <c r="F130" s="254"/>
      <c r="G130" s="251"/>
      <c r="H130" s="251"/>
      <c r="I130" s="158"/>
    </row>
    <row r="131" spans="1:9" ht="18.75" x14ac:dyDescent="0.3">
      <c r="A131" s="250"/>
      <c r="B131" s="250"/>
      <c r="C131" s="251"/>
      <c r="D131" s="251"/>
      <c r="E131" s="251"/>
      <c r="F131" s="254"/>
      <c r="G131" s="251"/>
      <c r="H131" s="251"/>
      <c r="I131" s="158"/>
    </row>
    <row r="132" spans="1:9" ht="18.75" x14ac:dyDescent="0.3">
      <c r="A132" s="250"/>
      <c r="B132" s="250"/>
      <c r="C132" s="251"/>
      <c r="D132" s="251"/>
      <c r="E132" s="251"/>
      <c r="F132" s="254"/>
      <c r="G132" s="251"/>
      <c r="H132" s="251"/>
      <c r="I132" s="158"/>
    </row>
    <row r="133" spans="1:9" ht="18.75" x14ac:dyDescent="0.3">
      <c r="A133" s="250"/>
      <c r="B133" s="250"/>
      <c r="C133" s="251"/>
      <c r="D133" s="251"/>
      <c r="E133" s="251"/>
      <c r="F133" s="254"/>
      <c r="G133" s="251"/>
      <c r="H133" s="251"/>
      <c r="I133" s="158"/>
    </row>
    <row r="134" spans="1:9" ht="18.75" x14ac:dyDescent="0.3">
      <c r="A134" s="250"/>
      <c r="B134" s="250"/>
      <c r="C134" s="251"/>
      <c r="D134" s="251"/>
      <c r="E134" s="251"/>
      <c r="F134" s="254"/>
      <c r="G134" s="251"/>
      <c r="H134" s="251"/>
      <c r="I134" s="158"/>
    </row>
    <row r="135" spans="1:9" ht="18.75" x14ac:dyDescent="0.3">
      <c r="A135" s="250"/>
      <c r="B135" s="250"/>
      <c r="C135" s="251"/>
      <c r="D135" s="251"/>
      <c r="E135" s="251"/>
      <c r="F135" s="254"/>
      <c r="G135" s="251"/>
      <c r="H135" s="251"/>
      <c r="I135" s="158"/>
    </row>
    <row r="136" spans="1:9" ht="18.75" x14ac:dyDescent="0.3">
      <c r="A136" s="250"/>
      <c r="B136" s="250"/>
      <c r="C136" s="251"/>
      <c r="D136" s="251"/>
      <c r="E136" s="251"/>
      <c r="F136" s="254"/>
      <c r="G136" s="251"/>
      <c r="H136" s="251"/>
      <c r="I136" s="158"/>
    </row>
    <row r="137" spans="1:9" ht="18.75" x14ac:dyDescent="0.3">
      <c r="A137" s="250"/>
      <c r="B137" s="250"/>
      <c r="C137" s="251"/>
      <c r="D137" s="251"/>
      <c r="E137" s="251"/>
      <c r="F137" s="254"/>
      <c r="G137" s="251"/>
      <c r="H137" s="251"/>
      <c r="I137" s="158"/>
    </row>
    <row r="138" spans="1:9" ht="18.75" x14ac:dyDescent="0.3">
      <c r="A138" s="250"/>
      <c r="B138" s="250"/>
      <c r="C138" s="251"/>
      <c r="D138" s="251"/>
      <c r="E138" s="251"/>
      <c r="F138" s="254"/>
      <c r="G138" s="251"/>
      <c r="H138" s="251"/>
      <c r="I138" s="15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weight variation</vt:lpstr>
      <vt:lpstr>Efavirenz 2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2018-07-13T06:56:17Z</cp:lastPrinted>
  <dcterms:created xsi:type="dcterms:W3CDTF">2005-07-05T10:19:27Z</dcterms:created>
  <dcterms:modified xsi:type="dcterms:W3CDTF">2018-07-18T08:49:46Z</dcterms:modified>
</cp:coreProperties>
</file>