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20490" windowHeight="7650" activeTab="4"/>
  </bookViews>
  <sheets>
    <sheet name="Uniformity" sheetId="2" r:id="rId1"/>
    <sheet name="sulfamethoxazole" sheetId="3" r:id="rId2"/>
    <sheet name="trimethoprim" sheetId="4" r:id="rId3"/>
    <sheet name="SST(SULFA)" sheetId="1" r:id="rId4"/>
    <sheet name="SST (TRIM)" sheetId="6" r:id="rId5"/>
  </sheets>
  <definedNames>
    <definedName name="_xlnm.Print_Area" localSheetId="4">'SST (TRIM)'!$A$15:$G$63</definedName>
    <definedName name="_xlnm.Print_Area" localSheetId="3">'SST(SULFA)'!$A$15:$G$62</definedName>
    <definedName name="_xlnm.Print_Area" localSheetId="1">sulfamethoxazole!$A$1:$I$135</definedName>
    <definedName name="_xlnm.Print_Area" localSheetId="2">trimethoprim!$A$1:$I$130</definedName>
    <definedName name="_xlnm.Print_Area" localSheetId="0">Uniformity!$A$11:$F$55</definedName>
  </definedNames>
  <calcPr calcId="162913"/>
</workbook>
</file>

<file path=xl/calcChain.xml><?xml version="1.0" encoding="utf-8"?>
<calcChain xmlns="http://schemas.openxmlformats.org/spreadsheetml/2006/main">
  <c r="F92" i="4" l="1"/>
  <c r="F93" i="4"/>
  <c r="F91" i="4"/>
  <c r="D92" i="4"/>
  <c r="D93" i="4"/>
  <c r="D91" i="4"/>
  <c r="F30" i="1"/>
  <c r="B21" i="6" l="1"/>
  <c r="B21" i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D101" i="4"/>
  <c r="I92" i="4"/>
  <c r="D101" i="3"/>
  <c r="G91" i="3" s="1"/>
  <c r="I92" i="3"/>
  <c r="I39" i="3"/>
  <c r="D44" i="3"/>
  <c r="D45" i="3" s="1"/>
  <c r="D49" i="3"/>
  <c r="F45" i="3"/>
  <c r="G40" i="3" s="1"/>
  <c r="F98" i="3"/>
  <c r="F99" i="3" s="1"/>
  <c r="F45" i="4"/>
  <c r="F46" i="4" s="1"/>
  <c r="D45" i="4"/>
  <c r="D46" i="4" s="1"/>
  <c r="F98" i="4"/>
  <c r="F99" i="4" s="1"/>
  <c r="B57" i="4"/>
  <c r="B69" i="4" s="1"/>
  <c r="D50" i="2"/>
  <c r="B49" i="2"/>
  <c r="D42" i="2"/>
  <c r="D38" i="2"/>
  <c r="D34" i="2"/>
  <c r="D30" i="2"/>
  <c r="D26" i="2"/>
  <c r="B57" i="3"/>
  <c r="B69" i="3" s="1"/>
  <c r="D49" i="2"/>
  <c r="D40" i="2"/>
  <c r="D36" i="2"/>
  <c r="D32" i="2"/>
  <c r="D28" i="2"/>
  <c r="D24" i="2"/>
  <c r="C49" i="2"/>
  <c r="D39" i="2"/>
  <c r="D35" i="2"/>
  <c r="D27" i="2"/>
  <c r="D43" i="2"/>
  <c r="D31" i="2"/>
  <c r="D37" i="2"/>
  <c r="C50" i="2"/>
  <c r="D29" i="2"/>
  <c r="D33" i="2"/>
  <c r="D98" i="3"/>
  <c r="E94" i="3" s="1"/>
  <c r="E41" i="4"/>
  <c r="D49" i="4"/>
  <c r="G38" i="4"/>
  <c r="G41" i="4"/>
  <c r="G94" i="4"/>
  <c r="E94" i="4"/>
  <c r="D102" i="4"/>
  <c r="G91" i="4"/>
  <c r="D25" i="2"/>
  <c r="D41" i="2"/>
  <c r="D97" i="4"/>
  <c r="D98" i="4" s="1"/>
  <c r="D99" i="4" s="1"/>
  <c r="G94" i="3"/>
  <c r="E40" i="4" l="1"/>
  <c r="E38" i="4"/>
  <c r="G40" i="4"/>
  <c r="G39" i="4"/>
  <c r="G42" i="4" s="1"/>
  <c r="E39" i="4"/>
  <c r="G93" i="4"/>
  <c r="G92" i="4"/>
  <c r="G95" i="4" s="1"/>
  <c r="D102" i="3"/>
  <c r="G92" i="3"/>
  <c r="G95" i="3" s="1"/>
  <c r="G93" i="3"/>
  <c r="E91" i="3"/>
  <c r="E92" i="3"/>
  <c r="G38" i="3"/>
  <c r="E41" i="3"/>
  <c r="E40" i="3"/>
  <c r="D46" i="3"/>
  <c r="E39" i="3"/>
  <c r="E38" i="3"/>
  <c r="G39" i="3"/>
  <c r="F46" i="3"/>
  <c r="G41" i="3"/>
  <c r="D99" i="3"/>
  <c r="E93" i="3"/>
  <c r="E92" i="4"/>
  <c r="E91" i="4"/>
  <c r="E93" i="4"/>
  <c r="D50" i="4"/>
  <c r="E42" i="4"/>
  <c r="D52" i="4"/>
  <c r="D103" i="3" l="1"/>
  <c r="E112" i="3" s="1"/>
  <c r="F112" i="3" s="1"/>
  <c r="D105" i="3"/>
  <c r="E42" i="3"/>
  <c r="G42" i="3"/>
  <c r="D52" i="3"/>
  <c r="E95" i="3"/>
  <c r="D50" i="3"/>
  <c r="D103" i="4"/>
  <c r="E95" i="4"/>
  <c r="D105" i="4"/>
  <c r="D51" i="4"/>
  <c r="G67" i="4"/>
  <c r="H67" i="4" s="1"/>
  <c r="G63" i="4"/>
  <c r="H63" i="4" s="1"/>
  <c r="G68" i="4"/>
  <c r="H68" i="4" s="1"/>
  <c r="G70" i="4"/>
  <c r="H70" i="4" s="1"/>
  <c r="G65" i="4"/>
  <c r="H65" i="4" s="1"/>
  <c r="G61" i="4"/>
  <c r="H6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104" i="3" l="1"/>
  <c r="E113" i="3"/>
  <c r="F113" i="3" s="1"/>
  <c r="E108" i="3"/>
  <c r="E109" i="3"/>
  <c r="F109" i="3" s="1"/>
  <c r="E110" i="3"/>
  <c r="F110" i="3" s="1"/>
  <c r="E111" i="3"/>
  <c r="F111" i="3" s="1"/>
  <c r="G62" i="3"/>
  <c r="H62" i="3" s="1"/>
  <c r="G63" i="3"/>
  <c r="H63" i="3" s="1"/>
  <c r="G68" i="3"/>
  <c r="H68" i="3" s="1"/>
  <c r="G69" i="3"/>
  <c r="H69" i="3" s="1"/>
  <c r="G70" i="3"/>
  <c r="H70" i="3" s="1"/>
  <c r="G61" i="3"/>
  <c r="H61" i="3" s="1"/>
  <c r="G71" i="3"/>
  <c r="H71" i="3" s="1"/>
  <c r="G66" i="3"/>
  <c r="H66" i="3" s="1"/>
  <c r="G67" i="3"/>
  <c r="H67" i="3" s="1"/>
  <c r="G60" i="3"/>
  <c r="G64" i="3"/>
  <c r="H64" i="3" s="1"/>
  <c r="G65" i="3"/>
  <c r="H65" i="3" s="1"/>
  <c r="D51" i="3"/>
  <c r="G74" i="4"/>
  <c r="G72" i="4"/>
  <c r="G73" i="4" s="1"/>
  <c r="H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3" l="1"/>
  <c r="E117" i="3"/>
  <c r="F108" i="3"/>
  <c r="F119" i="3" s="1"/>
  <c r="E119" i="3"/>
  <c r="E115" i="3"/>
  <c r="E116" i="3" s="1"/>
  <c r="H60" i="3"/>
  <c r="G74" i="3"/>
  <c r="G72" i="3"/>
  <c r="G73" i="3" s="1"/>
  <c r="F120" i="3"/>
  <c r="E115" i="4"/>
  <c r="E116" i="4" s="1"/>
  <c r="E117" i="4"/>
  <c r="E119" i="4"/>
  <c r="E120" i="4"/>
  <c r="F108" i="4"/>
  <c r="H74" i="4"/>
  <c r="H72" i="4"/>
  <c r="F117" i="3" l="1"/>
  <c r="F115" i="3"/>
  <c r="G124" i="3" s="1"/>
  <c r="F125" i="3"/>
  <c r="D125" i="3"/>
  <c r="H72" i="3"/>
  <c r="G76" i="3" s="1"/>
  <c r="H74" i="3"/>
  <c r="F125" i="4"/>
  <c r="F120" i="4"/>
  <c r="F117" i="4"/>
  <c r="D125" i="4"/>
  <c r="F115" i="4"/>
  <c r="F119" i="4"/>
  <c r="G76" i="4"/>
  <c r="H73" i="4"/>
  <c r="F116" i="3" l="1"/>
  <c r="H73" i="3"/>
  <c r="G124" i="4"/>
  <c r="F116" i="4"/>
</calcChain>
</file>

<file path=xl/sharedStrings.xml><?xml version="1.0" encoding="utf-8"?>
<sst xmlns="http://schemas.openxmlformats.org/spreadsheetml/2006/main" count="454" uniqueCount="139">
  <si>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</si>
  <si>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</si>
  <si>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</si>
  <si>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</si>
  <si>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</si>
  <si>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</si>
  <si>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</si>
  <si>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NDQB201807008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</si>
  <si>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</si>
  <si>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</si>
  <si>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</si>
  <si>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</si>
  <si>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2018-07-04 09:58:57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</si>
  <si>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</si>
  <si>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</si>
  <si>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</si>
  <si>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</si>
  <si>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</si>
  <si>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</si>
  <si>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</si>
  <si>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</si>
  <si>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</si>
  <si>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</si>
  <si>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</si>
  <si>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</si>
  <si>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</si>
  <si>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</si>
  <si>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</si>
  <si>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</si>
  <si>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</si>
  <si>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</si>
  <si>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</si>
  <si>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</si>
  <si>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</si>
  <si>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</si>
  <si>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</si>
  <si>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</si>
  <si>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</si>
  <si>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</si>
  <si>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</si>
  <si>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</si>
  <si>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</si>
  <si>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</si>
  <si>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</si>
  <si>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</si>
  <si>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</si>
  <si>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</si>
  <si>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</si>
  <si>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</si>
  <si>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</si>
  <si>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</si>
  <si>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</si>
  <si>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</si>
  <si>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</si>
  <si>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</si>
  <si>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</si>
  <si>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</si>
  <si>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</si>
  <si>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</si>
  <si>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</si>
  <si>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</si>
  <si>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</si>
  <si>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</si>
  <si>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</si>
  <si>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</si>
  <si>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</si>
  <si>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</si>
  <si>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</si>
  <si>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</si>
  <si>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</si>
  <si>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</si>
  <si>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</si>
  <si>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</si>
  <si>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</si>
  <si>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</si>
  <si>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</si>
  <si>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</si>
  <si>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</si>
  <si>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</si>
  <si>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</si>
  <si>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</si>
  <si>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</si>
  <si>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</si>
  <si>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</si>
  <si>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</si>
  <si>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</si>
  <si>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</si>
  <si>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</si>
  <si>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</si>
  <si>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</si>
  <si>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</si>
  <si>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</si>
  <si>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</si>
  <si>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</si>
  <si>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</si>
  <si>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</si>
  <si>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</si>
  <si>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</si>
  <si>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</si>
  <si>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</si>
  <si>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</si>
  <si>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</si>
  <si>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</si>
  <si>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</si>
  <si>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</si>
  <si>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</si>
  <si>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</si>
  <si>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</si>
  <si>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</si>
  <si>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</si>
  <si>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</si>
  <si>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</si>
  <si>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</si>
  <si>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</si>
  <si>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</si>
  <si>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</si>
  <si>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</si>
  <si>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</si>
  <si>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</si>
  <si>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</si>
  <si>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</si>
  <si>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</si>
  <si>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</si>
  <si>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</si>
  <si>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</si>
  <si>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</si>
  <si>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</si>
  <si>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</si>
  <si>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</si>
  <si>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</si>
  <si>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</si>
  <si>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BP </t>
  </si>
  <si>
    <t>Trimethoprim</t>
  </si>
  <si>
    <t>Each tablet contains 800mg Sulfamethoxazole &amp;160mg Trimethoprim</t>
  </si>
  <si>
    <t>T7-5</t>
  </si>
  <si>
    <t>Sulfamethoxazole</t>
  </si>
  <si>
    <t>S12-6</t>
  </si>
  <si>
    <t>Resolution</t>
  </si>
  <si>
    <t>The resolution between Sulphamethoxazole and Trimethoprim is not less than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</si>
</sst>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1" fontId="11" fillId="2" borderId="48" xfId="0" applyNumberFormat="1" applyFont="1" applyFill="1" applyBorder="1" applyAlignment="1">
      <alignment horizontal="center"/>
    </xf>
    <xf numFmtId="171" fontId="11" fillId="2" borderId="0" xfId="0" applyNumberFormat="1" applyFont="1" applyFill="1" applyBorder="1" applyAlignment="1">
      <alignment horizontal="center"/>
    </xf>
    <xf numFmtId="171" fontId="11" fillId="2" borderId="7" xfId="0" applyNumberFormat="1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3" fillId="3" borderId="57" xfId="0" applyFont="1" applyFill="1" applyBorder="1" applyAlignment="1" applyProtection="1">
      <alignment horizontal="center"/>
      <protection locked="0"/>
    </xf>
    <xf numFmtId="0" fontId="13" fillId="3" borderId="58" xfId="0" applyFont="1" applyFill="1" applyBorder="1" applyAlignment="1" applyProtection="1">
      <alignment horizontal="center"/>
      <protection locked="0"/>
    </xf>
    <xf numFmtId="0" fontId="13" fillId="3" borderId="59" xfId="0" applyFont="1" applyFill="1" applyBorder="1" applyAlignment="1" applyProtection="1">
      <alignment horizontal="center"/>
      <protection locked="0"/>
    </xf>
    <xf numFmtId="171" fontId="11" fillId="2" borderId="28" xfId="0" applyNumberFormat="1" applyFont="1" applyFill="1" applyBorder="1" applyAlignment="1">
      <alignment horizontal="center"/>
    </xf>
    <xf numFmtId="171" fontId="11" fillId="2" borderId="24" xfId="0" applyNumberFormat="1" applyFont="1" applyFill="1" applyBorder="1" applyAlignment="1">
      <alignment horizontal="center"/>
    </xf>
    <xf numFmtId="171" fontId="11" fillId="2" borderId="33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D54" sqref="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91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90"/>
    </row>
    <row r="14" spans="1:7" ht="16.5" customHeight="1" x14ac:dyDescent="0.3">
      <c r="A14" s="480" t="s">
        <v>33</v>
      </c>
      <c r="B14" s="480"/>
      <c r="C14" s="60" t="s">
        <v>5</v>
      </c>
    </row>
    <row r="15" spans="1:7" ht="16.5" customHeight="1" x14ac:dyDescent="0.3">
      <c r="A15" s="480" t="s">
        <v>34</v>
      </c>
      <c r="B15" s="480"/>
      <c r="C15" s="60" t="s">
        <v>7</v>
      </c>
    </row>
    <row r="16" spans="1:7" ht="16.5" customHeight="1" x14ac:dyDescent="0.3">
      <c r="A16" s="480" t="s">
        <v>35</v>
      </c>
      <c r="B16" s="480"/>
      <c r="C16" s="60" t="s">
        <v>9</v>
      </c>
    </row>
    <row r="17" spans="1:5" ht="16.5" customHeight="1" x14ac:dyDescent="0.3">
      <c r="A17" s="480" t="s">
        <v>36</v>
      </c>
      <c r="B17" s="480"/>
      <c r="C17" s="60" t="s">
        <v>11</v>
      </c>
    </row>
    <row r="18" spans="1:5" ht="16.5" customHeight="1" x14ac:dyDescent="0.3">
      <c r="A18" s="480" t="s">
        <v>37</v>
      </c>
      <c r="B18" s="480"/>
      <c r="C18" s="97" t="s">
        <v>12</v>
      </c>
    </row>
    <row r="19" spans="1:5" ht="16.5" customHeight="1" x14ac:dyDescent="0.3">
      <c r="A19" s="480" t="s">
        <v>38</v>
      </c>
      <c r="B19" s="48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5" t="s">
        <v>1</v>
      </c>
      <c r="B21" s="475"/>
      <c r="C21" s="59" t="s">
        <v>39</v>
      </c>
      <c r="D21" s="66"/>
    </row>
    <row r="22" spans="1:5" ht="15.75" customHeight="1" x14ac:dyDescent="0.3">
      <c r="A22" s="479"/>
      <c r="B22" s="479"/>
      <c r="C22" s="57"/>
      <c r="D22" s="479"/>
      <c r="E22" s="47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1041.45</v>
      </c>
      <c r="D24" s="87">
        <f t="shared" ref="D24:D43" si="0">(C24-$C$46)/$C$46</f>
        <v>-6.4694678608683527E-3</v>
      </c>
      <c r="E24" s="53"/>
    </row>
    <row r="25" spans="1:5" ht="15.75" customHeight="1" x14ac:dyDescent="0.3">
      <c r="C25" s="95">
        <v>1046.82</v>
      </c>
      <c r="D25" s="88">
        <f t="shared" si="0"/>
        <v>-1.3465536954383958E-3</v>
      </c>
      <c r="E25" s="53"/>
    </row>
    <row r="26" spans="1:5" ht="15.75" customHeight="1" x14ac:dyDescent="0.3">
      <c r="C26" s="95">
        <v>1048.93</v>
      </c>
      <c r="D26" s="88">
        <f t="shared" si="0"/>
        <v>6.6636043660221495E-4</v>
      </c>
      <c r="E26" s="53"/>
    </row>
    <row r="27" spans="1:5" ht="15.75" customHeight="1" x14ac:dyDescent="0.3">
      <c r="C27" s="95">
        <v>1051.01</v>
      </c>
      <c r="D27" s="88">
        <f t="shared" si="0"/>
        <v>2.6506549364335285E-3</v>
      </c>
      <c r="E27" s="53"/>
    </row>
    <row r="28" spans="1:5" ht="15.75" customHeight="1" x14ac:dyDescent="0.3">
      <c r="C28" s="95">
        <v>1046.49</v>
      </c>
      <c r="D28" s="88">
        <f t="shared" si="0"/>
        <v>-1.6613696497384978E-3</v>
      </c>
      <c r="E28" s="53"/>
    </row>
    <row r="29" spans="1:5" ht="15.75" customHeight="1" x14ac:dyDescent="0.3">
      <c r="C29" s="95">
        <v>1051.0999999999999</v>
      </c>
      <c r="D29" s="88">
        <f t="shared" si="0"/>
        <v>2.73651383306077E-3</v>
      </c>
      <c r="E29" s="53"/>
    </row>
    <row r="30" spans="1:5" ht="15.75" customHeight="1" x14ac:dyDescent="0.3">
      <c r="C30" s="95">
        <v>1039.5899999999999</v>
      </c>
      <c r="D30" s="88">
        <f t="shared" si="0"/>
        <v>-8.2438850578330763E-3</v>
      </c>
      <c r="E30" s="53"/>
    </row>
    <row r="31" spans="1:5" ht="15.75" customHeight="1" x14ac:dyDescent="0.3">
      <c r="C31" s="95">
        <v>1045.03</v>
      </c>
      <c r="D31" s="88">
        <f t="shared" si="0"/>
        <v>-3.0541917505817148E-3</v>
      </c>
      <c r="E31" s="53"/>
    </row>
    <row r="32" spans="1:5" ht="15.75" customHeight="1" x14ac:dyDescent="0.3">
      <c r="C32" s="95">
        <v>1051.1300000000001</v>
      </c>
      <c r="D32" s="88">
        <f t="shared" si="0"/>
        <v>2.7651334652700672E-3</v>
      </c>
      <c r="E32" s="53"/>
    </row>
    <row r="33" spans="1:7" ht="15.75" customHeight="1" x14ac:dyDescent="0.3">
      <c r="C33" s="95">
        <v>1063.23</v>
      </c>
      <c r="D33" s="88">
        <f t="shared" si="0"/>
        <v>1.430838512294293E-2</v>
      </c>
      <c r="E33" s="53"/>
    </row>
    <row r="34" spans="1:7" ht="15.75" customHeight="1" x14ac:dyDescent="0.3">
      <c r="C34" s="95">
        <v>1046.3399999999999</v>
      </c>
      <c r="D34" s="88">
        <f t="shared" si="0"/>
        <v>-1.8044678107841171E-3</v>
      </c>
      <c r="E34" s="53"/>
    </row>
    <row r="35" spans="1:7" ht="15.75" customHeight="1" x14ac:dyDescent="0.3">
      <c r="C35" s="95">
        <v>1046.8900000000001</v>
      </c>
      <c r="D35" s="88">
        <f t="shared" si="0"/>
        <v>-1.2797745536169912E-3</v>
      </c>
      <c r="E35" s="53"/>
    </row>
    <row r="36" spans="1:7" ht="15.75" customHeight="1" x14ac:dyDescent="0.3">
      <c r="C36" s="95">
        <v>1055.73</v>
      </c>
      <c r="D36" s="88">
        <f t="shared" si="0"/>
        <v>7.153477070666308E-3</v>
      </c>
      <c r="E36" s="53"/>
    </row>
    <row r="37" spans="1:7" ht="15.75" customHeight="1" x14ac:dyDescent="0.3">
      <c r="C37" s="95">
        <v>1041.99</v>
      </c>
      <c r="D37" s="88">
        <f t="shared" si="0"/>
        <v>-5.9543144811044701E-3</v>
      </c>
      <c r="E37" s="53"/>
    </row>
    <row r="38" spans="1:7" ht="15.75" customHeight="1" x14ac:dyDescent="0.3">
      <c r="C38" s="95">
        <v>1040.83</v>
      </c>
      <c r="D38" s="88">
        <f t="shared" si="0"/>
        <v>-7.0609402598566656E-3</v>
      </c>
      <c r="E38" s="53"/>
    </row>
    <row r="39" spans="1:7" ht="15.75" customHeight="1" x14ac:dyDescent="0.3">
      <c r="C39" s="95">
        <v>1053.5999999999999</v>
      </c>
      <c r="D39" s="88">
        <f t="shared" si="0"/>
        <v>5.1214831838196431E-3</v>
      </c>
      <c r="E39" s="53"/>
    </row>
    <row r="40" spans="1:7" ht="15.75" customHeight="1" x14ac:dyDescent="0.3">
      <c r="C40" s="95">
        <v>1049.22</v>
      </c>
      <c r="D40" s="88">
        <f t="shared" si="0"/>
        <v>9.4301688129020962E-4</v>
      </c>
      <c r="E40" s="53"/>
    </row>
    <row r="41" spans="1:7" ht="15.75" customHeight="1" x14ac:dyDescent="0.3">
      <c r="C41" s="95">
        <v>1050.0999999999999</v>
      </c>
      <c r="D41" s="88">
        <f t="shared" si="0"/>
        <v>1.7825260927572203E-3</v>
      </c>
      <c r="E41" s="53"/>
    </row>
    <row r="42" spans="1:7" ht="15.75" customHeight="1" x14ac:dyDescent="0.3">
      <c r="C42" s="95">
        <v>1052.81</v>
      </c>
      <c r="D42" s="88">
        <f t="shared" si="0"/>
        <v>4.3678328689798745E-3</v>
      </c>
      <c r="E42" s="53"/>
    </row>
    <row r="43" spans="1:7" ht="16.5" customHeight="1" x14ac:dyDescent="0.3">
      <c r="C43" s="96">
        <v>1042.3399999999999</v>
      </c>
      <c r="D43" s="89">
        <f t="shared" si="0"/>
        <v>-5.6204187719983145E-3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20964.629999999997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1048.2314999999999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3">
        <f>C46</f>
        <v>1048.2314999999999</v>
      </c>
      <c r="C49" s="93">
        <f>-IF(C46&lt;=80,10%,IF(C46&lt;250,7.5%,5%))</f>
        <v>-0.05</v>
      </c>
      <c r="D49" s="81">
        <f>IF(C46&lt;=80,C46*0.9,IF(C46&lt;250,C46*0.925,C46*0.95))</f>
        <v>995.81992499999978</v>
      </c>
    </row>
    <row r="50" spans="1:6" ht="17.25" customHeight="1" x14ac:dyDescent="0.3">
      <c r="B50" s="474"/>
      <c r="C50" s="94">
        <f>IF(C46&lt;=80, 10%, IF(C46&lt;250, 7.5%, 5%))</f>
        <v>0.05</v>
      </c>
      <c r="D50" s="81">
        <f>IF(C46&lt;=80, C46*1.1, IF(C46&lt;250, C46*1.075, C46*1.05))</f>
        <v>1100.643075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8" zoomScale="55" zoomScaleNormal="40" zoomScalePageLayoutView="55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45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46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98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100" t="s">
        <v>33</v>
      </c>
      <c r="B18" s="513" t="s">
        <v>5</v>
      </c>
      <c r="C18" s="513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8" t="s">
        <v>131</v>
      </c>
      <c r="C20" s="51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8" t="s">
        <v>133</v>
      </c>
      <c r="C21" s="518"/>
      <c r="D21" s="518"/>
      <c r="E21" s="518"/>
      <c r="F21" s="518"/>
      <c r="G21" s="518"/>
      <c r="H21" s="518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3" t="s">
        <v>135</v>
      </c>
      <c r="C26" s="513"/>
    </row>
    <row r="27" spans="1:14" ht="26.25" customHeight="1" x14ac:dyDescent="0.4">
      <c r="A27" s="109" t="s">
        <v>48</v>
      </c>
      <c r="B27" s="519" t="s">
        <v>136</v>
      </c>
      <c r="C27" s="519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/>
      <c r="C29" s="489" t="s">
        <v>50</v>
      </c>
      <c r="D29" s="490"/>
      <c r="E29" s="490"/>
      <c r="F29" s="490"/>
      <c r="G29" s="49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2" t="s">
        <v>53</v>
      </c>
      <c r="D31" s="493"/>
      <c r="E31" s="493"/>
      <c r="F31" s="493"/>
      <c r="G31" s="493"/>
      <c r="H31" s="49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2" t="s">
        <v>55</v>
      </c>
      <c r="D32" s="493"/>
      <c r="E32" s="493"/>
      <c r="F32" s="493"/>
      <c r="G32" s="493"/>
      <c r="H32" s="49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95" t="s">
        <v>59</v>
      </c>
      <c r="E36" s="520"/>
      <c r="F36" s="495" t="s">
        <v>60</v>
      </c>
      <c r="G36" s="49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31685348</v>
      </c>
      <c r="E38" s="133">
        <f>IF(ISBLANK(D38),"-",$D$48/$D$45*D38)</f>
        <v>32882659.050343983</v>
      </c>
      <c r="F38" s="132">
        <v>33217703</v>
      </c>
      <c r="G38" s="134">
        <f>IF(ISBLANK(F38),"-",$D$48/$F$45*F38)</f>
        <v>33050697.823895853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31916810</v>
      </c>
      <c r="E39" s="138">
        <f>IF(ISBLANK(D39),"-",$D$48/$D$45*D39)</f>
        <v>33122867.427702207</v>
      </c>
      <c r="F39" s="137">
        <v>33029209</v>
      </c>
      <c r="G39" s="139">
        <f>IF(ISBLANK(F39),"-",$D$48/$F$45*F39)</f>
        <v>32863151.49549327</v>
      </c>
      <c r="I39" s="497">
        <f>ABS((F43/D43*D42)-F42)/D42</f>
        <v>3.132837312005623E-3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31916151</v>
      </c>
      <c r="E40" s="138">
        <f>IF(ISBLANK(D40),"-",$D$48/$D$45*D40)</f>
        <v>33122183.525719684</v>
      </c>
      <c r="F40" s="137">
        <v>33082447</v>
      </c>
      <c r="G40" s="139">
        <f>IF(ISBLANK(F40),"-",$D$48/$F$45*F40)</f>
        <v>32916121.836360868</v>
      </c>
      <c r="I40" s="49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31839436.333333332</v>
      </c>
      <c r="E42" s="148">
        <f>AVERAGE(E38:E41)</f>
        <v>33042570.001255292</v>
      </c>
      <c r="F42" s="147">
        <f>AVERAGE(F38:F41)</f>
        <v>33109786.333333332</v>
      </c>
      <c r="G42" s="149">
        <f>AVERAGE(G38:G41)</f>
        <v>32943323.718583331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15.57</v>
      </c>
      <c r="E43" s="140"/>
      <c r="F43" s="152">
        <v>16.239999999999998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15.57</v>
      </c>
      <c r="E44" s="155"/>
      <c r="F44" s="154">
        <f>F43*$B$34</f>
        <v>16.239999999999998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15.417413999999999</v>
      </c>
      <c r="E45" s="158"/>
      <c r="F45" s="157">
        <f>F44*$B$30/100</f>
        <v>16.080848</v>
      </c>
      <c r="H45" s="150"/>
    </row>
    <row r="46" spans="1:14" ht="19.5" customHeight="1" x14ac:dyDescent="0.3">
      <c r="A46" s="483" t="s">
        <v>78</v>
      </c>
      <c r="B46" s="484"/>
      <c r="C46" s="153" t="s">
        <v>79</v>
      </c>
      <c r="D46" s="159">
        <f>D45/$B$45</f>
        <v>0.15417413999999999</v>
      </c>
      <c r="E46" s="160"/>
      <c r="F46" s="161">
        <f>F45/$B$45</f>
        <v>0.16080848</v>
      </c>
      <c r="H46" s="150"/>
    </row>
    <row r="47" spans="1:14" ht="27" customHeight="1" x14ac:dyDescent="0.4">
      <c r="A47" s="485"/>
      <c r="B47" s="486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32992946.859919313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3.6328184599091489E-3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800mg Sulfamethoxazole &amp;160mg Trimethoprim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 xml:space="preserve">Sulfamethoxazole BP </v>
      </c>
      <c r="H56" s="179"/>
    </row>
    <row r="57" spans="1:12" ht="18.75" x14ac:dyDescent="0.3">
      <c r="A57" s="176" t="s">
        <v>88</v>
      </c>
      <c r="B57" s="247">
        <f>Uniformity!C46</f>
        <v>1048.2314999999999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00" t="s">
        <v>94</v>
      </c>
      <c r="D60" s="503">
        <v>215.19</v>
      </c>
      <c r="E60" s="182">
        <v>1</v>
      </c>
      <c r="F60" s="183">
        <v>34567498</v>
      </c>
      <c r="G60" s="248">
        <f>IF(ISBLANK(F60),"-",(F60/$D$50*$D$47*$B$68)*($B$57/$D$60))</f>
        <v>816.58602343334292</v>
      </c>
      <c r="H60" s="266">
        <f t="shared" ref="H60:H71" si="0">IF(ISBLANK(F60),"-",(G60/$B$56)*100)</f>
        <v>102.07325292916786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501"/>
      <c r="D61" s="504"/>
      <c r="E61" s="184">
        <v>2</v>
      </c>
      <c r="F61" s="137">
        <v>34524804</v>
      </c>
      <c r="G61" s="249">
        <f>IF(ISBLANK(F61),"-",(F61/$D$50*$D$47*$B$68)*($B$57/$D$60))</f>
        <v>815.57746551907132</v>
      </c>
      <c r="H61" s="267">
        <f t="shared" si="0"/>
        <v>101.94718318988392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1"/>
      <c r="D62" s="504"/>
      <c r="E62" s="184">
        <v>3</v>
      </c>
      <c r="F62" s="185">
        <v>34614338</v>
      </c>
      <c r="G62" s="249">
        <f>IF(ISBLANK(F62),"-",(F62/$D$50*$D$47*$B$68)*($B$57/$D$60))</f>
        <v>817.69252206791623</v>
      </c>
      <c r="H62" s="267">
        <f t="shared" si="0"/>
        <v>102.21156525848953</v>
      </c>
      <c r="L62" s="112"/>
    </row>
    <row r="63" spans="1:12" ht="27" customHeight="1" x14ac:dyDescent="0.4">
      <c r="A63" s="124" t="s">
        <v>97</v>
      </c>
      <c r="B63" s="125">
        <v>1</v>
      </c>
      <c r="C63" s="510"/>
      <c r="D63" s="50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0" t="s">
        <v>99</v>
      </c>
      <c r="D64" s="503">
        <v>211.68</v>
      </c>
      <c r="E64" s="182">
        <v>1</v>
      </c>
      <c r="F64" s="183">
        <v>34455166</v>
      </c>
      <c r="G64" s="248">
        <f>IF(ISBLANK(F64),"-",(F64/$D$50*$D$47*$B$68)*($B$57/$D$64))</f>
        <v>827.42873928179586</v>
      </c>
      <c r="H64" s="266">
        <f t="shared" si="0"/>
        <v>103.42859241022448</v>
      </c>
    </row>
    <row r="65" spans="1:8" ht="26.25" customHeight="1" x14ac:dyDescent="0.4">
      <c r="A65" s="124" t="s">
        <v>100</v>
      </c>
      <c r="B65" s="125">
        <v>1</v>
      </c>
      <c r="C65" s="501"/>
      <c r="D65" s="504"/>
      <c r="E65" s="184">
        <v>2</v>
      </c>
      <c r="F65" s="137">
        <v>34705097</v>
      </c>
      <c r="G65" s="249">
        <f>IF(ISBLANK(F65),"-",(F65/$D$50*$D$47*$B$68)*($B$57/$D$64))</f>
        <v>833.43074467737131</v>
      </c>
      <c r="H65" s="267">
        <f t="shared" si="0"/>
        <v>104.17884308467143</v>
      </c>
    </row>
    <row r="66" spans="1:8" ht="26.25" customHeight="1" x14ac:dyDescent="0.4">
      <c r="A66" s="124" t="s">
        <v>101</v>
      </c>
      <c r="B66" s="125">
        <v>1</v>
      </c>
      <c r="C66" s="501"/>
      <c r="D66" s="504"/>
      <c r="E66" s="184">
        <v>3</v>
      </c>
      <c r="F66" s="137">
        <v>34671286</v>
      </c>
      <c r="G66" s="249">
        <f>IF(ISBLANK(F66),"-",(F66/$D$50*$D$47*$B$68)*($B$57/$D$64))</f>
        <v>832.61878535888002</v>
      </c>
      <c r="H66" s="267">
        <f t="shared" si="0"/>
        <v>104.07734816986</v>
      </c>
    </row>
    <row r="67" spans="1:8" ht="27" customHeight="1" x14ac:dyDescent="0.4">
      <c r="A67" s="124" t="s">
        <v>102</v>
      </c>
      <c r="B67" s="125">
        <v>1</v>
      </c>
      <c r="C67" s="510"/>
      <c r="D67" s="50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500" t="s">
        <v>104</v>
      </c>
      <c r="D68" s="503">
        <v>221.99</v>
      </c>
      <c r="E68" s="182">
        <v>1</v>
      </c>
      <c r="F68" s="183">
        <v>36729505</v>
      </c>
      <c r="G68" s="248">
        <f>IF(ISBLANK(F68),"-",(F68/$D$50*$D$47*$B$68)*($B$57/$D$68))</f>
        <v>841.0808515670351</v>
      </c>
      <c r="H68" s="267">
        <f t="shared" si="0"/>
        <v>105.13510644587937</v>
      </c>
    </row>
    <row r="69" spans="1:8" ht="27" customHeight="1" x14ac:dyDescent="0.4">
      <c r="A69" s="172" t="s">
        <v>105</v>
      </c>
      <c r="B69" s="189">
        <f>(D47*B68)/B56*B57</f>
        <v>209.6463</v>
      </c>
      <c r="C69" s="501"/>
      <c r="D69" s="504"/>
      <c r="E69" s="184">
        <v>2</v>
      </c>
      <c r="F69" s="137">
        <v>36761318</v>
      </c>
      <c r="G69" s="249">
        <f>IF(ISBLANK(F69),"-",(F69/$D$50*$D$47*$B$68)*($B$57/$D$68))</f>
        <v>841.8093477754893</v>
      </c>
      <c r="H69" s="267">
        <f t="shared" si="0"/>
        <v>105.22616847193615</v>
      </c>
    </row>
    <row r="70" spans="1:8" ht="26.25" customHeight="1" x14ac:dyDescent="0.4">
      <c r="A70" s="506" t="s">
        <v>78</v>
      </c>
      <c r="B70" s="507"/>
      <c r="C70" s="501"/>
      <c r="D70" s="504"/>
      <c r="E70" s="184">
        <v>3</v>
      </c>
      <c r="F70" s="137">
        <v>36572513</v>
      </c>
      <c r="G70" s="249">
        <f>IF(ISBLANK(F70),"-",(F70/$D$50*$D$47*$B$68)*($B$57/$D$68))</f>
        <v>837.48584082433058</v>
      </c>
      <c r="H70" s="267">
        <f t="shared" si="0"/>
        <v>104.68573010304132</v>
      </c>
    </row>
    <row r="71" spans="1:8" ht="27" customHeight="1" x14ac:dyDescent="0.4">
      <c r="A71" s="508"/>
      <c r="B71" s="509"/>
      <c r="C71" s="502"/>
      <c r="D71" s="50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829.30114672280365</v>
      </c>
      <c r="H72" s="269">
        <f>AVERAGE(H60:H71)</f>
        <v>103.66264334035047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1.2636446845751348E-2</v>
      </c>
      <c r="H73" s="253">
        <f>STDEV(H60:H71)/H72</f>
        <v>1.2636446845751315E-2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487" t="str">
        <f>B26</f>
        <v>Sulfamethoxazole</v>
      </c>
      <c r="D76" s="487"/>
      <c r="E76" s="198" t="s">
        <v>108</v>
      </c>
      <c r="F76" s="198"/>
      <c r="G76" s="285">
        <f>H72</f>
        <v>103.66264334035047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1" t="str">
        <f>B26</f>
        <v>Sulfamethoxazole</v>
      </c>
      <c r="C79" s="521"/>
    </row>
    <row r="80" spans="1:8" ht="26.25" customHeight="1" x14ac:dyDescent="0.4">
      <c r="A80" s="109" t="s">
        <v>48</v>
      </c>
      <c r="B80" s="521" t="str">
        <f>B27</f>
        <v>S12-6</v>
      </c>
      <c r="C80" s="521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89" t="s">
        <v>50</v>
      </c>
      <c r="D82" s="490"/>
      <c r="E82" s="490"/>
      <c r="F82" s="490"/>
      <c r="G82" s="49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2" t="s">
        <v>111</v>
      </c>
      <c r="D84" s="493"/>
      <c r="E84" s="493"/>
      <c r="F84" s="493"/>
      <c r="G84" s="493"/>
      <c r="H84" s="49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2" t="s">
        <v>112</v>
      </c>
      <c r="D85" s="493"/>
      <c r="E85" s="493"/>
      <c r="F85" s="493"/>
      <c r="G85" s="493"/>
      <c r="H85" s="49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495" t="s">
        <v>60</v>
      </c>
      <c r="G89" s="496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320">
        <v>31685348</v>
      </c>
      <c r="E91" s="133">
        <f>IF(ISBLANK(D91),"-",$D$101/$D$98*D91)</f>
        <v>36536287.833715536</v>
      </c>
      <c r="F91" s="320">
        <v>33217703</v>
      </c>
      <c r="G91" s="134">
        <f>IF(ISBLANK(F91),"-",$D$101/$F$98*F91)</f>
        <v>36722997.582106508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325">
        <v>31916810</v>
      </c>
      <c r="E92" s="138">
        <f>IF(ISBLANK(D92),"-",$D$101/$D$98*D92)</f>
        <v>36803186.030780233</v>
      </c>
      <c r="F92" s="325">
        <v>33029209</v>
      </c>
      <c r="G92" s="139">
        <f>IF(ISBLANK(F92),"-",$D$101/$F$98*F92)</f>
        <v>36514612.772770301</v>
      </c>
      <c r="I92" s="497">
        <f>ABS((F96/D96*D95)-F95)/D95</f>
        <v>3.132837312005623E-3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325">
        <v>31916151</v>
      </c>
      <c r="E93" s="138">
        <f>IF(ISBLANK(D93),"-",$D$101/$D$98*D93)</f>
        <v>36802426.139688537</v>
      </c>
      <c r="F93" s="325">
        <v>33082447</v>
      </c>
      <c r="G93" s="139">
        <f>IF(ISBLANK(F93),"-",$D$101/$F$98*F93)</f>
        <v>36573468.707067631</v>
      </c>
      <c r="I93" s="497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31839436.333333332</v>
      </c>
      <c r="E95" s="148">
        <f>AVERAGE(E91:E94)</f>
        <v>36713966.668061435</v>
      </c>
      <c r="F95" s="211">
        <f>AVERAGE(F91:F94)</f>
        <v>33109786.333333332</v>
      </c>
      <c r="G95" s="212">
        <f>AVERAGE(G91:G94)</f>
        <v>36603693.020648152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15.57</v>
      </c>
      <c r="E96" s="140"/>
      <c r="F96" s="152">
        <v>16.239999999999998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15.57</v>
      </c>
      <c r="E97" s="155"/>
      <c r="F97" s="154">
        <f>F96*$B$87</f>
        <v>16.239999999999998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15.417413999999999</v>
      </c>
      <c r="E98" s="158"/>
      <c r="F98" s="157">
        <f>F97*$B$83/100</f>
        <v>16.080848</v>
      </c>
    </row>
    <row r="99" spans="1:10" ht="19.5" customHeight="1" x14ac:dyDescent="0.3">
      <c r="A99" s="483" t="s">
        <v>78</v>
      </c>
      <c r="B99" s="498"/>
      <c r="C99" s="215" t="s">
        <v>116</v>
      </c>
      <c r="D99" s="219">
        <f>D98/$B$98</f>
        <v>0.15417413999999999</v>
      </c>
      <c r="E99" s="158"/>
      <c r="F99" s="161">
        <f>F98/$B$98</f>
        <v>0.16080848</v>
      </c>
      <c r="G99" s="220"/>
      <c r="H99" s="150"/>
    </row>
    <row r="100" spans="1:10" ht="19.5" customHeight="1" x14ac:dyDescent="0.3">
      <c r="A100" s="485"/>
      <c r="B100" s="499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36658829.844354793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3.6328184599091809E-3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4</v>
      </c>
      <c r="C108" s="275">
        <v>1</v>
      </c>
      <c r="D108" s="276">
        <v>34646346</v>
      </c>
      <c r="E108" s="250">
        <f t="shared" ref="E108:E113" si="1">IF(ISBLANK(D108),"-",D108/$D$103*$D$100*$B$116)</f>
        <v>756.08187489018394</v>
      </c>
      <c r="F108" s="277">
        <f t="shared" ref="F108:F113" si="2">IF(ISBLANK(D108), "-", (E108/$B$56)*100)</f>
        <v>94.510234361272992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73">
        <v>34588211</v>
      </c>
      <c r="E109" s="251">
        <f t="shared" si="1"/>
        <v>754.81320373517269</v>
      </c>
      <c r="F109" s="278">
        <f t="shared" si="2"/>
        <v>94.351650466896587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34809432</v>
      </c>
      <c r="E110" s="251">
        <f t="shared" si="1"/>
        <v>759.64087556079835</v>
      </c>
      <c r="F110" s="278">
        <f t="shared" si="2"/>
        <v>94.955109445099794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34519212</v>
      </c>
      <c r="E111" s="251">
        <f t="shared" si="1"/>
        <v>753.30744918069388</v>
      </c>
      <c r="F111" s="278">
        <f t="shared" si="2"/>
        <v>94.163431147586735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34733195</v>
      </c>
      <c r="E112" s="251">
        <f t="shared" si="1"/>
        <v>757.9771672466228</v>
      </c>
      <c r="F112" s="278">
        <f t="shared" si="2"/>
        <v>94.74714590582785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34724497</v>
      </c>
      <c r="E113" s="252">
        <f t="shared" si="1"/>
        <v>757.7873521316958</v>
      </c>
      <c r="F113" s="279">
        <f t="shared" si="2"/>
        <v>94.723419016461975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756.60132045752789</v>
      </c>
      <c r="F115" s="281">
        <f>AVERAGE(F108:F113)</f>
        <v>94.575165057190986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3.0631118629323205E-3</v>
      </c>
      <c r="F116" s="235">
        <f>STDEV(F108:F113)/F115</f>
        <v>3.0631118629323205E-3</v>
      </c>
      <c r="I116" s="98"/>
    </row>
    <row r="117" spans="1:10" ht="27" customHeight="1" x14ac:dyDescent="0.4">
      <c r="A117" s="483" t="s">
        <v>78</v>
      </c>
      <c r="B117" s="484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85"/>
      <c r="B118" s="486"/>
      <c r="C118" s="98"/>
      <c r="D118" s="260"/>
      <c r="E118" s="511" t="s">
        <v>123</v>
      </c>
      <c r="F118" s="512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753.30744918069388</v>
      </c>
      <c r="F119" s="282">
        <f>MIN(F108:F113)</f>
        <v>94.163431147586735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759.64087556079835</v>
      </c>
      <c r="F120" s="283">
        <f>MAX(F108:F113)</f>
        <v>94.955109445099794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87" t="str">
        <f>B26</f>
        <v>Sulfamethoxazole</v>
      </c>
      <c r="D124" s="487"/>
      <c r="E124" s="198" t="s">
        <v>127</v>
      </c>
      <c r="F124" s="198"/>
      <c r="G124" s="284">
        <f>F115</f>
        <v>94.575165057190986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94.163431147586735</v>
      </c>
      <c r="E125" s="209" t="s">
        <v>130</v>
      </c>
      <c r="F125" s="284">
        <f>MAX(F108:F113)</f>
        <v>94.955109445099794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88" t="s">
        <v>26</v>
      </c>
      <c r="C127" s="488"/>
      <c r="E127" s="204" t="s">
        <v>27</v>
      </c>
      <c r="F127" s="239"/>
      <c r="G127" s="488" t="s">
        <v>28</v>
      </c>
      <c r="H127" s="48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5" zoomScaleNormal="40" zoomScalePageLayoutView="55" workbookViewId="0">
      <selection activeCell="G99" sqref="G9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45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46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286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88" t="s">
        <v>33</v>
      </c>
      <c r="B18" s="513" t="s">
        <v>5</v>
      </c>
      <c r="C18" s="513"/>
      <c r="D18" s="433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2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18" t="s">
        <v>132</v>
      </c>
      <c r="C20" s="518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18" t="s">
        <v>133</v>
      </c>
      <c r="C21" s="518"/>
      <c r="D21" s="518"/>
      <c r="E21" s="518"/>
      <c r="F21" s="518"/>
      <c r="G21" s="518"/>
      <c r="H21" s="518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13" t="s">
        <v>132</v>
      </c>
      <c r="C26" s="513"/>
    </row>
    <row r="27" spans="1:14" ht="26.25" customHeight="1" x14ac:dyDescent="0.4">
      <c r="A27" s="297" t="s">
        <v>48</v>
      </c>
      <c r="B27" s="519" t="s">
        <v>134</v>
      </c>
      <c r="C27" s="519"/>
    </row>
    <row r="28" spans="1:14" ht="27" customHeight="1" x14ac:dyDescent="0.4">
      <c r="A28" s="297" t="s">
        <v>6</v>
      </c>
      <c r="B28" s="298">
        <v>99.7</v>
      </c>
    </row>
    <row r="29" spans="1:14" s="14" customFormat="1" ht="27" customHeight="1" x14ac:dyDescent="0.4">
      <c r="A29" s="297" t="s">
        <v>49</v>
      </c>
      <c r="B29" s="299"/>
      <c r="C29" s="489" t="s">
        <v>50</v>
      </c>
      <c r="D29" s="490"/>
      <c r="E29" s="490"/>
      <c r="F29" s="490"/>
      <c r="G29" s="491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99.7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2" t="s">
        <v>53</v>
      </c>
      <c r="D31" s="493"/>
      <c r="E31" s="493"/>
      <c r="F31" s="493"/>
      <c r="G31" s="493"/>
      <c r="H31" s="494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2" t="s">
        <v>55</v>
      </c>
      <c r="D32" s="493"/>
      <c r="E32" s="493"/>
      <c r="F32" s="493"/>
      <c r="G32" s="493"/>
      <c r="H32" s="494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495" t="s">
        <v>59</v>
      </c>
      <c r="E36" s="520"/>
      <c r="F36" s="495" t="s">
        <v>60</v>
      </c>
      <c r="G36" s="496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100</v>
      </c>
      <c r="C38" s="319">
        <v>1</v>
      </c>
      <c r="D38" s="320">
        <v>2428939</v>
      </c>
      <c r="E38" s="321">
        <f>IF(ISBLANK(D38),"-",$D$48/$D$45*D38)</f>
        <v>2584878.242153516</v>
      </c>
      <c r="F38" s="320">
        <v>2585369</v>
      </c>
      <c r="G38" s="322">
        <f>IF(ISBLANK(F38),"-",$D$48/$F$45*F38)</f>
        <v>2577682.3512286358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2442391</v>
      </c>
      <c r="E39" s="326">
        <f>IF(ISBLANK(D39),"-",$D$48/$D$45*D39)</f>
        <v>2599193.8680763775</v>
      </c>
      <c r="F39" s="325">
        <v>2571991</v>
      </c>
      <c r="G39" s="327">
        <f>IF(ISBLANK(F39),"-",$D$48/$F$45*F39)</f>
        <v>2564344.1258168141</v>
      </c>
      <c r="I39" s="497">
        <f>ABS((F43/D43*D42)-F42)/D42</f>
        <v>1.0293114352852096E-2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2438647</v>
      </c>
      <c r="E40" s="326">
        <f>IF(ISBLANK(D40),"-",$D$48/$D$45*D40)</f>
        <v>2595209.5011825925</v>
      </c>
      <c r="F40" s="325">
        <v>2569877</v>
      </c>
      <c r="G40" s="327">
        <f>IF(ISBLANK(F40),"-",$D$48/$F$45*F40)</f>
        <v>2562236.4110223311</v>
      </c>
      <c r="I40" s="497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2436659</v>
      </c>
      <c r="E42" s="336">
        <f>AVERAGE(E38:E41)</f>
        <v>2593093.8704708288</v>
      </c>
      <c r="F42" s="335">
        <f>AVERAGE(F38:F41)</f>
        <v>2575745.6666666665</v>
      </c>
      <c r="G42" s="337">
        <f>AVERAGE(G38:G41)</f>
        <v>2568087.6293559275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18.850000000000001</v>
      </c>
      <c r="E43" s="328"/>
      <c r="F43" s="340">
        <v>20.12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18.850000000000001</v>
      </c>
      <c r="E44" s="343"/>
      <c r="F44" s="342">
        <f>F43*$B$34</f>
        <v>20.12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18.793450000000004</v>
      </c>
      <c r="E45" s="346"/>
      <c r="F45" s="345">
        <f>F44*$B$30/100</f>
        <v>20.059640000000002</v>
      </c>
      <c r="H45" s="338"/>
    </row>
    <row r="46" spans="1:14" ht="19.5" customHeight="1" x14ac:dyDescent="0.3">
      <c r="A46" s="483" t="s">
        <v>78</v>
      </c>
      <c r="B46" s="484"/>
      <c r="C46" s="341" t="s">
        <v>79</v>
      </c>
      <c r="D46" s="347">
        <f>D45/$B$45</f>
        <v>3.0069520000000006E-2</v>
      </c>
      <c r="E46" s="348"/>
      <c r="F46" s="349">
        <f>F45/$B$45</f>
        <v>3.2095424000000004E-2</v>
      </c>
      <c r="H46" s="338"/>
    </row>
    <row r="47" spans="1:14" ht="27" customHeight="1" x14ac:dyDescent="0.4">
      <c r="A47" s="485"/>
      <c r="B47" s="486"/>
      <c r="C47" s="350" t="s">
        <v>80</v>
      </c>
      <c r="D47" s="351">
        <v>3.2000000000000001E-2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2580590.7499133782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5.9718009398420395E-3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tablet contains 800mg Sulfamethoxazole &amp;160mg Trimethoprim</v>
      </c>
    </row>
    <row r="56" spans="1:12" ht="26.25" customHeight="1" x14ac:dyDescent="0.4">
      <c r="A56" s="365" t="s">
        <v>87</v>
      </c>
      <c r="B56" s="366">
        <v>160</v>
      </c>
      <c r="C56" s="287" t="str">
        <f>B20</f>
        <v>Trimethoprim</v>
      </c>
      <c r="H56" s="367"/>
    </row>
    <row r="57" spans="1:12" ht="18.75" x14ac:dyDescent="0.3">
      <c r="A57" s="364" t="s">
        <v>88</v>
      </c>
      <c r="B57" s="434">
        <f>Uniformity!C46</f>
        <v>1048.2314999999999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5</v>
      </c>
      <c r="C60" s="500" t="s">
        <v>94</v>
      </c>
      <c r="D60" s="503">
        <v>215.19</v>
      </c>
      <c r="E60" s="370">
        <v>1</v>
      </c>
      <c r="F60" s="371">
        <v>2660694</v>
      </c>
      <c r="G60" s="435">
        <f>IF(ISBLANK(F60),"-",(F60/$D$50*$D$47*$B$68)*($B$57/$D$60))</f>
        <v>160.71665808450715</v>
      </c>
      <c r="H60" s="453">
        <f t="shared" ref="H60:H71" si="0">IF(ISBLANK(F60),"-",(G60/$B$56)*100)</f>
        <v>100.44791130281696</v>
      </c>
      <c r="L60" s="300"/>
    </row>
    <row r="61" spans="1:12" s="14" customFormat="1" ht="26.25" customHeight="1" x14ac:dyDescent="0.4">
      <c r="A61" s="312" t="s">
        <v>95</v>
      </c>
      <c r="B61" s="313">
        <v>50</v>
      </c>
      <c r="C61" s="501"/>
      <c r="D61" s="504"/>
      <c r="E61" s="372">
        <v>2</v>
      </c>
      <c r="F61" s="325">
        <v>2662029</v>
      </c>
      <c r="G61" s="436">
        <f>IF(ISBLANK(F61),"-",(F61/$D$50*$D$47*$B$68)*($B$57/$D$60))</f>
        <v>160.79729747353227</v>
      </c>
      <c r="H61" s="454">
        <f t="shared" si="0"/>
        <v>100.49831092095766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1"/>
      <c r="D62" s="504"/>
      <c r="E62" s="372">
        <v>3</v>
      </c>
      <c r="F62" s="373">
        <v>2672340</v>
      </c>
      <c r="G62" s="436">
        <f>IF(ISBLANK(F62),"-",(F62/$D$50*$D$47*$B$68)*($B$57/$D$60))</f>
        <v>161.4201234961825</v>
      </c>
      <c r="H62" s="454">
        <f t="shared" si="0"/>
        <v>100.88757718511405</v>
      </c>
      <c r="L62" s="300"/>
    </row>
    <row r="63" spans="1:12" ht="27" customHeight="1" x14ac:dyDescent="0.4">
      <c r="A63" s="312" t="s">
        <v>97</v>
      </c>
      <c r="B63" s="313">
        <v>1</v>
      </c>
      <c r="C63" s="510"/>
      <c r="D63" s="505"/>
      <c r="E63" s="374">
        <v>4</v>
      </c>
      <c r="F63" s="375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0" t="s">
        <v>99</v>
      </c>
      <c r="D64" s="503">
        <v>211.68</v>
      </c>
      <c r="E64" s="370">
        <v>1</v>
      </c>
      <c r="F64" s="371">
        <v>2649628</v>
      </c>
      <c r="G64" s="435">
        <f>IF(ISBLANK(F64),"-",(F64/$D$50*$D$47*$B$68)*($B$57/$D$64))</f>
        <v>162.70208792125314</v>
      </c>
      <c r="H64" s="453">
        <f t="shared" si="0"/>
        <v>101.68880495078321</v>
      </c>
    </row>
    <row r="65" spans="1:8" ht="26.25" customHeight="1" x14ac:dyDescent="0.4">
      <c r="A65" s="312" t="s">
        <v>100</v>
      </c>
      <c r="B65" s="313">
        <v>1</v>
      </c>
      <c r="C65" s="501"/>
      <c r="D65" s="504"/>
      <c r="E65" s="372">
        <v>2</v>
      </c>
      <c r="F65" s="325">
        <v>2674467</v>
      </c>
      <c r="G65" s="436">
        <f>IF(ISBLANK(F65),"-",(F65/$D$50*$D$47*$B$68)*($B$57/$D$64))</f>
        <v>164.22734247090165</v>
      </c>
      <c r="H65" s="454">
        <f t="shared" si="0"/>
        <v>102.64208904431354</v>
      </c>
    </row>
    <row r="66" spans="1:8" ht="26.25" customHeight="1" x14ac:dyDescent="0.4">
      <c r="A66" s="312" t="s">
        <v>101</v>
      </c>
      <c r="B66" s="313">
        <v>1</v>
      </c>
      <c r="C66" s="501"/>
      <c r="D66" s="504"/>
      <c r="E66" s="372">
        <v>3</v>
      </c>
      <c r="F66" s="325">
        <v>2673644</v>
      </c>
      <c r="G66" s="436">
        <f>IF(ISBLANK(F66),"-",(F66/$D$50*$D$47*$B$68)*($B$57/$D$64))</f>
        <v>164.17680563389692</v>
      </c>
      <c r="H66" s="454">
        <f t="shared" si="0"/>
        <v>102.61050352118556</v>
      </c>
    </row>
    <row r="67" spans="1:8" ht="27" customHeight="1" x14ac:dyDescent="0.4">
      <c r="A67" s="312" t="s">
        <v>102</v>
      </c>
      <c r="B67" s="313">
        <v>1</v>
      </c>
      <c r="C67" s="510"/>
      <c r="D67" s="505"/>
      <c r="E67" s="374">
        <v>4</v>
      </c>
      <c r="F67" s="375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1000</v>
      </c>
      <c r="C68" s="500" t="s">
        <v>104</v>
      </c>
      <c r="D68" s="503">
        <v>221.99</v>
      </c>
      <c r="E68" s="370">
        <v>1</v>
      </c>
      <c r="F68" s="371">
        <v>2810895</v>
      </c>
      <c r="G68" s="435">
        <f>IF(ISBLANK(F68),"-",(F68/$D$50*$D$47*$B$68)*($B$57/$D$68))</f>
        <v>164.58841398190756</v>
      </c>
      <c r="H68" s="454">
        <f t="shared" si="0"/>
        <v>102.86775873869223</v>
      </c>
    </row>
    <row r="69" spans="1:8" ht="27" customHeight="1" x14ac:dyDescent="0.4">
      <c r="A69" s="360" t="s">
        <v>105</v>
      </c>
      <c r="B69" s="377">
        <f>(D47*B68)/B56*B57</f>
        <v>209.6463</v>
      </c>
      <c r="C69" s="501"/>
      <c r="D69" s="504"/>
      <c r="E69" s="372">
        <v>2</v>
      </c>
      <c r="F69" s="325">
        <v>2820504</v>
      </c>
      <c r="G69" s="436">
        <f>IF(ISBLANK(F69),"-",(F69/$D$50*$D$47*$B$68)*($B$57/$D$68))</f>
        <v>165.1510568660965</v>
      </c>
      <c r="H69" s="454">
        <f t="shared" si="0"/>
        <v>103.21941054131032</v>
      </c>
    </row>
    <row r="70" spans="1:8" ht="26.25" customHeight="1" x14ac:dyDescent="0.4">
      <c r="A70" s="506" t="s">
        <v>78</v>
      </c>
      <c r="B70" s="507"/>
      <c r="C70" s="501"/>
      <c r="D70" s="504"/>
      <c r="E70" s="372">
        <v>3</v>
      </c>
      <c r="F70" s="325">
        <v>2802304</v>
      </c>
      <c r="G70" s="436">
        <f>IF(ISBLANK(F70),"-",(F70/$D$50*$D$47*$B$68)*($B$57/$D$68))</f>
        <v>164.08537880467094</v>
      </c>
      <c r="H70" s="454">
        <f t="shared" si="0"/>
        <v>102.55336175291933</v>
      </c>
    </row>
    <row r="71" spans="1:8" ht="27" customHeight="1" x14ac:dyDescent="0.4">
      <c r="A71" s="508"/>
      <c r="B71" s="509"/>
      <c r="C71" s="502"/>
      <c r="D71" s="505"/>
      <c r="E71" s="374">
        <v>4</v>
      </c>
      <c r="F71" s="375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1">
        <f>AVERAGE(G60:G71)</f>
        <v>163.09612941477204</v>
      </c>
      <c r="H72" s="456">
        <f>AVERAGE(H60:H71)</f>
        <v>101.93508088423255</v>
      </c>
    </row>
    <row r="73" spans="1:8" ht="26.25" customHeight="1" x14ac:dyDescent="0.4">
      <c r="C73" s="378"/>
      <c r="D73" s="378"/>
      <c r="E73" s="378"/>
      <c r="F73" s="381" t="s">
        <v>84</v>
      </c>
      <c r="G73" s="440">
        <f>STDEV(G60:G71)/G72</f>
        <v>1.0572481758297654E-2</v>
      </c>
      <c r="H73" s="440">
        <f>STDEV(H60:H71)/H72</f>
        <v>1.057248175829769E-2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487" t="str">
        <f>B26</f>
        <v>Trimethoprim</v>
      </c>
      <c r="D76" s="487"/>
      <c r="E76" s="386" t="s">
        <v>108</v>
      </c>
      <c r="F76" s="386"/>
      <c r="G76" s="472">
        <f>H72</f>
        <v>101.93508088423255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1" t="str">
        <f>B26</f>
        <v>Trimethoprim</v>
      </c>
      <c r="C79" s="521"/>
    </row>
    <row r="80" spans="1:8" ht="26.25" customHeight="1" x14ac:dyDescent="0.4">
      <c r="A80" s="297" t="s">
        <v>48</v>
      </c>
      <c r="B80" s="521" t="str">
        <f>B27</f>
        <v>T7-5</v>
      </c>
      <c r="C80" s="521"/>
    </row>
    <row r="81" spans="1:12" ht="27" customHeight="1" x14ac:dyDescent="0.4">
      <c r="A81" s="297" t="s">
        <v>6</v>
      </c>
      <c r="B81" s="389">
        <f>B28</f>
        <v>99.7</v>
      </c>
    </row>
    <row r="82" spans="1:12" s="14" customFormat="1" ht="27" customHeight="1" x14ac:dyDescent="0.4">
      <c r="A82" s="297" t="s">
        <v>49</v>
      </c>
      <c r="B82" s="299">
        <v>0</v>
      </c>
      <c r="C82" s="489" t="s">
        <v>50</v>
      </c>
      <c r="D82" s="490"/>
      <c r="E82" s="490"/>
      <c r="F82" s="490"/>
      <c r="G82" s="491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99.7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2" t="s">
        <v>111</v>
      </c>
      <c r="D84" s="493"/>
      <c r="E84" s="493"/>
      <c r="F84" s="493"/>
      <c r="G84" s="493"/>
      <c r="H84" s="494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2" t="s">
        <v>112</v>
      </c>
      <c r="D85" s="493"/>
      <c r="E85" s="493"/>
      <c r="F85" s="493"/>
      <c r="G85" s="493"/>
      <c r="H85" s="494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495" t="s">
        <v>60</v>
      </c>
      <c r="G89" s="496"/>
    </row>
    <row r="90" spans="1:12" ht="27" customHeight="1" thickBot="1" x14ac:dyDescent="0.45">
      <c r="A90" s="312" t="s">
        <v>61</v>
      </c>
      <c r="B90" s="313">
        <v>4</v>
      </c>
      <c r="C90" s="392" t="s">
        <v>62</v>
      </c>
      <c r="D90" s="527" t="s">
        <v>63</v>
      </c>
      <c r="E90" s="316" t="s">
        <v>64</v>
      </c>
      <c r="F90" s="527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100</v>
      </c>
      <c r="C91" s="394">
        <v>1</v>
      </c>
      <c r="D91" s="528">
        <f>D38</f>
        <v>2428939</v>
      </c>
      <c r="E91" s="524">
        <f>IF(ISBLANK(D91),"-",$D$101/$D$98*D91)</f>
        <v>2872086.9357261285</v>
      </c>
      <c r="F91" s="528">
        <f>F38</f>
        <v>2585369</v>
      </c>
      <c r="G91" s="531">
        <f>IF(ISBLANK(F91),"-",$D$101/$F$98*F91)</f>
        <v>2864091.5013651513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529">
        <f t="shared" ref="D92:D94" si="1">D39</f>
        <v>2442391</v>
      </c>
      <c r="E92" s="525">
        <f>IF(ISBLANK(D92),"-",$D$101/$D$98*D92)</f>
        <v>2887993.18675153</v>
      </c>
      <c r="F92" s="529">
        <f t="shared" ref="F92:F93" si="2">F39</f>
        <v>2571991</v>
      </c>
      <c r="G92" s="532">
        <f>IF(ISBLANK(F92),"-",$D$101/$F$98*F92)</f>
        <v>2849271.2509075711</v>
      </c>
      <c r="I92" s="497">
        <f>ABS((F96/D96*D95)-F95)/D95</f>
        <v>1.0293114352852096E-2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529">
        <f t="shared" si="1"/>
        <v>2438647</v>
      </c>
      <c r="E93" s="525">
        <f>IF(ISBLANK(D93),"-",$D$101/$D$98*D93)</f>
        <v>2883566.1124251024</v>
      </c>
      <c r="F93" s="529">
        <f t="shared" si="2"/>
        <v>2569877</v>
      </c>
      <c r="G93" s="532">
        <f>IF(ISBLANK(F93),"-",$D$101/$F$98*F93)</f>
        <v>2846929.3455803678</v>
      </c>
      <c r="I93" s="497"/>
    </row>
    <row r="94" spans="1:12" ht="27" customHeight="1" thickBot="1" x14ac:dyDescent="0.45">
      <c r="A94" s="312" t="s">
        <v>69</v>
      </c>
      <c r="B94" s="313">
        <v>1</v>
      </c>
      <c r="C94" s="395">
        <v>4</v>
      </c>
      <c r="D94" s="530"/>
      <c r="E94" s="526" t="str">
        <f>IF(ISBLANK(D94),"-",$D$101/$D$98*D94)</f>
        <v>-</v>
      </c>
      <c r="F94" s="530"/>
      <c r="G94" s="533" t="str">
        <f>IF(ISBLANK(F94),"-",$D$101/$F$98*F94)</f>
        <v>-</v>
      </c>
      <c r="I94" s="333"/>
    </row>
    <row r="95" spans="1:12" ht="27" customHeight="1" thickBot="1" x14ac:dyDescent="0.45">
      <c r="A95" s="312" t="s">
        <v>70</v>
      </c>
      <c r="B95" s="313">
        <v>1</v>
      </c>
      <c r="C95" s="396" t="s">
        <v>71</v>
      </c>
      <c r="D95" s="397">
        <f>AVERAGE(D91:D94)</f>
        <v>2436659</v>
      </c>
      <c r="E95" s="336">
        <f>AVERAGE(E91:E94)</f>
        <v>2881215.4116342533</v>
      </c>
      <c r="F95" s="398">
        <f>AVERAGE(F91:F94)</f>
        <v>2575745.6666666665</v>
      </c>
      <c r="G95" s="399">
        <f>AVERAGE(G91:G94)</f>
        <v>2853430.6992843635</v>
      </c>
    </row>
    <row r="96" spans="1:12" ht="26.25" customHeight="1" x14ac:dyDescent="0.4">
      <c r="A96" s="312" t="s">
        <v>72</v>
      </c>
      <c r="B96" s="298">
        <v>1</v>
      </c>
      <c r="C96" s="400" t="s">
        <v>113</v>
      </c>
      <c r="D96" s="401">
        <v>18.850000000000001</v>
      </c>
      <c r="E96" s="328"/>
      <c r="F96" s="340">
        <v>20.12</v>
      </c>
    </row>
    <row r="97" spans="1:10" ht="26.25" customHeight="1" x14ac:dyDescent="0.4">
      <c r="A97" s="312" t="s">
        <v>74</v>
      </c>
      <c r="B97" s="298">
        <v>1</v>
      </c>
      <c r="C97" s="402" t="s">
        <v>114</v>
      </c>
      <c r="D97" s="403">
        <f>D96*$B$87</f>
        <v>18.850000000000001</v>
      </c>
      <c r="E97" s="343"/>
      <c r="F97" s="342">
        <f>F96*$B$87</f>
        <v>20.12</v>
      </c>
    </row>
    <row r="98" spans="1:10" ht="19.5" customHeight="1" x14ac:dyDescent="0.3">
      <c r="A98" s="312" t="s">
        <v>76</v>
      </c>
      <c r="B98" s="404">
        <f>(B97/B96)*(B95/B94)*(B93/B92)*(B91/B90)*B89</f>
        <v>625</v>
      </c>
      <c r="C98" s="402" t="s">
        <v>115</v>
      </c>
      <c r="D98" s="405">
        <f>D97*$B$83/100</f>
        <v>18.793450000000004</v>
      </c>
      <c r="E98" s="346"/>
      <c r="F98" s="345">
        <f>F97*$B$83/100</f>
        <v>20.059640000000002</v>
      </c>
    </row>
    <row r="99" spans="1:10" ht="19.5" customHeight="1" x14ac:dyDescent="0.3">
      <c r="A99" s="483" t="s">
        <v>78</v>
      </c>
      <c r="B99" s="498"/>
      <c r="C99" s="402" t="s">
        <v>116</v>
      </c>
      <c r="D99" s="406">
        <f>D98/$B$98</f>
        <v>3.0069520000000006E-2</v>
      </c>
      <c r="E99" s="346"/>
      <c r="F99" s="349">
        <f>F98/$B$98</f>
        <v>3.2095424000000004E-2</v>
      </c>
      <c r="G99" s="407"/>
      <c r="H99" s="338"/>
    </row>
    <row r="100" spans="1:10" ht="19.5" customHeight="1" x14ac:dyDescent="0.3">
      <c r="A100" s="485"/>
      <c r="B100" s="499"/>
      <c r="C100" s="402" t="s">
        <v>80</v>
      </c>
      <c r="D100" s="408">
        <f>$B$56/$B$116</f>
        <v>3.5555555555555556E-2</v>
      </c>
      <c r="F100" s="354"/>
      <c r="G100" s="409"/>
      <c r="H100" s="338"/>
    </row>
    <row r="101" spans="1:10" ht="18.75" x14ac:dyDescent="0.3">
      <c r="C101" s="402" t="s">
        <v>81</v>
      </c>
      <c r="D101" s="403">
        <f>D100*$B$98</f>
        <v>22.222222222222221</v>
      </c>
      <c r="F101" s="354"/>
      <c r="G101" s="407"/>
      <c r="H101" s="338"/>
    </row>
    <row r="102" spans="1:10" ht="19.5" customHeight="1" x14ac:dyDescent="0.3">
      <c r="C102" s="410" t="s">
        <v>82</v>
      </c>
      <c r="D102" s="411">
        <f>D101/B34</f>
        <v>22.222222222222221</v>
      </c>
      <c r="F102" s="358"/>
      <c r="G102" s="407"/>
      <c r="H102" s="338"/>
      <c r="J102" s="412"/>
    </row>
    <row r="103" spans="1:10" ht="18.75" x14ac:dyDescent="0.3">
      <c r="C103" s="413" t="s">
        <v>117</v>
      </c>
      <c r="D103" s="414">
        <f>AVERAGE(E91:E94,G91:G94)</f>
        <v>2867323.0554593089</v>
      </c>
      <c r="F103" s="358"/>
      <c r="G103" s="415"/>
      <c r="H103" s="338"/>
      <c r="J103" s="416"/>
    </row>
    <row r="104" spans="1:10" ht="18.75" x14ac:dyDescent="0.3">
      <c r="C104" s="381" t="s">
        <v>84</v>
      </c>
      <c r="D104" s="417">
        <f>STDEV(E91:E94,G91:G94)/D103</f>
        <v>5.9718009398419744E-3</v>
      </c>
      <c r="F104" s="358"/>
      <c r="G104" s="407"/>
      <c r="H104" s="338"/>
      <c r="J104" s="416"/>
    </row>
    <row r="105" spans="1:10" ht="19.5" customHeight="1" x14ac:dyDescent="0.3">
      <c r="C105" s="383" t="s">
        <v>20</v>
      </c>
      <c r="D105" s="418">
        <f>COUNT(E91:E94,G91:G94)</f>
        <v>6</v>
      </c>
      <c r="F105" s="358"/>
      <c r="G105" s="407"/>
      <c r="H105" s="338"/>
      <c r="J105" s="416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2" t="s">
        <v>122</v>
      </c>
      <c r="B108" s="313">
        <v>4</v>
      </c>
      <c r="C108" s="462">
        <v>1</v>
      </c>
      <c r="D108" s="463">
        <v>2669525</v>
      </c>
      <c r="E108" s="437">
        <f t="shared" ref="E108:E113" si="3">IF(ISBLANK(D108),"-",D108/$D$103*$D$100*$B$116)</f>
        <v>148.96263578907406</v>
      </c>
      <c r="F108" s="464">
        <f t="shared" ref="F108:F113" si="4">IF(ISBLANK(D108), "-", (E108/$B$56)*100)</f>
        <v>93.101647368171285</v>
      </c>
    </row>
    <row r="109" spans="1:10" ht="26.25" customHeight="1" x14ac:dyDescent="0.4">
      <c r="A109" s="312" t="s">
        <v>95</v>
      </c>
      <c r="B109" s="313">
        <v>20</v>
      </c>
      <c r="C109" s="458">
        <v>2</v>
      </c>
      <c r="D109" s="460">
        <v>2664610</v>
      </c>
      <c r="E109" s="438">
        <f t="shared" si="3"/>
        <v>148.6883730064055</v>
      </c>
      <c r="F109" s="465">
        <f t="shared" si="4"/>
        <v>92.93023312900344</v>
      </c>
    </row>
    <row r="110" spans="1:10" ht="26.25" customHeight="1" x14ac:dyDescent="0.4">
      <c r="A110" s="312" t="s">
        <v>96</v>
      </c>
      <c r="B110" s="313">
        <v>1</v>
      </c>
      <c r="C110" s="458">
        <v>3</v>
      </c>
      <c r="D110" s="460">
        <v>2681557</v>
      </c>
      <c r="E110" s="438">
        <f t="shared" si="3"/>
        <v>149.63403554514082</v>
      </c>
      <c r="F110" s="465">
        <f t="shared" si="4"/>
        <v>93.521272215713012</v>
      </c>
    </row>
    <row r="111" spans="1:10" ht="26.25" customHeight="1" x14ac:dyDescent="0.4">
      <c r="A111" s="312" t="s">
        <v>97</v>
      </c>
      <c r="B111" s="313">
        <v>1</v>
      </c>
      <c r="C111" s="458">
        <v>4</v>
      </c>
      <c r="D111" s="460">
        <v>2660195</v>
      </c>
      <c r="E111" s="438">
        <f t="shared" si="3"/>
        <v>148.44201081200433</v>
      </c>
      <c r="F111" s="465">
        <f t="shared" si="4"/>
        <v>92.776256757502708</v>
      </c>
    </row>
    <row r="112" spans="1:10" ht="26.25" customHeight="1" x14ac:dyDescent="0.4">
      <c r="A112" s="312" t="s">
        <v>98</v>
      </c>
      <c r="B112" s="313">
        <v>1</v>
      </c>
      <c r="C112" s="458">
        <v>5</v>
      </c>
      <c r="D112" s="460">
        <v>2674954</v>
      </c>
      <c r="E112" s="438">
        <f t="shared" si="3"/>
        <v>149.26558037648149</v>
      </c>
      <c r="F112" s="465">
        <f t="shared" si="4"/>
        <v>93.290987735300931</v>
      </c>
    </row>
    <row r="113" spans="1:10" ht="27" customHeight="1" x14ac:dyDescent="0.4">
      <c r="A113" s="312" t="s">
        <v>100</v>
      </c>
      <c r="B113" s="313">
        <v>1</v>
      </c>
      <c r="C113" s="459">
        <v>6</v>
      </c>
      <c r="D113" s="461">
        <v>2675905</v>
      </c>
      <c r="E113" s="439">
        <f t="shared" si="3"/>
        <v>149.31864729536611</v>
      </c>
      <c r="F113" s="466">
        <f t="shared" si="4"/>
        <v>93.324154559603812</v>
      </c>
    </row>
    <row r="114" spans="1:10" ht="27" customHeight="1" x14ac:dyDescent="0.4">
      <c r="A114" s="312" t="s">
        <v>101</v>
      </c>
      <c r="B114" s="313">
        <v>1</v>
      </c>
      <c r="C114" s="420"/>
      <c r="D114" s="379"/>
      <c r="E114" s="286"/>
      <c r="F114" s="467"/>
    </row>
    <row r="115" spans="1:10" ht="26.25" customHeight="1" x14ac:dyDescent="0.4">
      <c r="A115" s="312" t="s">
        <v>102</v>
      </c>
      <c r="B115" s="313">
        <v>1</v>
      </c>
      <c r="C115" s="420"/>
      <c r="D115" s="444" t="s">
        <v>71</v>
      </c>
      <c r="E115" s="446">
        <f>AVERAGE(E108:E113)</f>
        <v>149.05188047074537</v>
      </c>
      <c r="F115" s="468">
        <f>AVERAGE(F108:F113)</f>
        <v>93.157425294215855</v>
      </c>
    </row>
    <row r="116" spans="1:10" ht="27" customHeight="1" x14ac:dyDescent="0.4">
      <c r="A116" s="312" t="s">
        <v>103</v>
      </c>
      <c r="B116" s="344">
        <f>(B115/B114)*(B113/B112)*(B111/B110)*(B109/B108)*B107</f>
        <v>4500</v>
      </c>
      <c r="C116" s="421"/>
      <c r="D116" s="445" t="s">
        <v>84</v>
      </c>
      <c r="E116" s="443">
        <f>STDEV(E108:E113)/E115</f>
        <v>2.9516568187083619E-3</v>
      </c>
      <c r="F116" s="422">
        <f>STDEV(F108:F113)/F115</f>
        <v>2.9516568187083368E-3</v>
      </c>
      <c r="I116" s="286"/>
    </row>
    <row r="117" spans="1:10" ht="27" customHeight="1" x14ac:dyDescent="0.4">
      <c r="A117" s="483" t="s">
        <v>78</v>
      </c>
      <c r="B117" s="484"/>
      <c r="C117" s="423"/>
      <c r="D117" s="383" t="s">
        <v>20</v>
      </c>
      <c r="E117" s="448">
        <f>COUNT(E108:E113)</f>
        <v>6</v>
      </c>
      <c r="F117" s="449">
        <f>COUNT(F108:F113)</f>
        <v>6</v>
      </c>
      <c r="I117" s="286"/>
      <c r="J117" s="416"/>
    </row>
    <row r="118" spans="1:10" ht="26.25" customHeight="1" x14ac:dyDescent="0.3">
      <c r="A118" s="485"/>
      <c r="B118" s="486"/>
      <c r="C118" s="286"/>
      <c r="D118" s="447"/>
      <c r="E118" s="511" t="s">
        <v>123</v>
      </c>
      <c r="F118" s="512"/>
      <c r="G118" s="286"/>
      <c r="H118" s="286"/>
      <c r="I118" s="286"/>
    </row>
    <row r="119" spans="1:10" ht="25.5" customHeight="1" x14ac:dyDescent="0.4">
      <c r="A119" s="432"/>
      <c r="B119" s="308"/>
      <c r="C119" s="286"/>
      <c r="D119" s="445" t="s">
        <v>124</v>
      </c>
      <c r="E119" s="450">
        <f>MIN(E108:E113)</f>
        <v>148.44201081200433</v>
      </c>
      <c r="F119" s="469">
        <f>MIN(F108:F113)</f>
        <v>92.776256757502708</v>
      </c>
      <c r="G119" s="286"/>
      <c r="H119" s="286"/>
      <c r="I119" s="286"/>
    </row>
    <row r="120" spans="1:10" ht="24" customHeight="1" x14ac:dyDescent="0.4">
      <c r="A120" s="432"/>
      <c r="B120" s="308"/>
      <c r="C120" s="286"/>
      <c r="D120" s="355" t="s">
        <v>125</v>
      </c>
      <c r="E120" s="451">
        <f>MAX(E108:E113)</f>
        <v>149.63403554514082</v>
      </c>
      <c r="F120" s="470">
        <f>MAX(F108:F113)</f>
        <v>93.521272215713012</v>
      </c>
      <c r="G120" s="286"/>
      <c r="H120" s="286"/>
      <c r="I120" s="286"/>
    </row>
    <row r="121" spans="1:10" ht="27" customHeight="1" x14ac:dyDescent="0.3">
      <c r="A121" s="432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2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2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87" t="str">
        <f>B26</f>
        <v>Trimethoprim</v>
      </c>
      <c r="D124" s="487"/>
      <c r="E124" s="386" t="s">
        <v>127</v>
      </c>
      <c r="F124" s="386"/>
      <c r="G124" s="471">
        <f>F115</f>
        <v>93.157425294215855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1">
        <f>MIN(F108:F113)</f>
        <v>92.776256757502708</v>
      </c>
      <c r="E125" s="396" t="s">
        <v>130</v>
      </c>
      <c r="F125" s="471">
        <f>MAX(F108:F113)</f>
        <v>93.521272215713012</v>
      </c>
      <c r="G125" s="387"/>
      <c r="H125" s="286"/>
      <c r="I125" s="286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88" t="s">
        <v>26</v>
      </c>
      <c r="C127" s="488"/>
      <c r="E127" s="392" t="s">
        <v>27</v>
      </c>
      <c r="F127" s="426"/>
      <c r="G127" s="488" t="s">
        <v>28</v>
      </c>
      <c r="H127" s="488"/>
    </row>
    <row r="128" spans="1:10" ht="69.95" customHeight="1" x14ac:dyDescent="0.3">
      <c r="A128" s="427" t="s">
        <v>29</v>
      </c>
      <c r="B128" s="428"/>
      <c r="C128" s="428"/>
      <c r="E128" s="428"/>
      <c r="F128" s="286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6"/>
      <c r="G129" s="431"/>
      <c r="H129" s="431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1" zoomScaleNormal="100" workbookViewId="0">
      <selection activeCell="B38" sqref="B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22" t="s">
        <v>0</v>
      </c>
      <c r="B15" s="522"/>
      <c r="C15" s="522"/>
      <c r="D15" s="522"/>
      <c r="E15" s="52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15.57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15.57/100</f>
        <v>0.15570000000000001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137</v>
      </c>
    </row>
    <row r="24" spans="1:6" ht="16.5" customHeight="1" x14ac:dyDescent="0.3">
      <c r="A24" s="17">
        <v>1</v>
      </c>
      <c r="B24" s="18">
        <v>32088314</v>
      </c>
      <c r="C24" s="18">
        <v>7342</v>
      </c>
      <c r="D24" s="19">
        <v>1.2</v>
      </c>
      <c r="E24" s="20">
        <v>10.7</v>
      </c>
      <c r="F24" s="20">
        <v>15.3</v>
      </c>
    </row>
    <row r="25" spans="1:6" ht="16.5" customHeight="1" x14ac:dyDescent="0.3">
      <c r="A25" s="17">
        <v>2</v>
      </c>
      <c r="B25" s="18">
        <v>32052669</v>
      </c>
      <c r="C25" s="18">
        <v>7272.5</v>
      </c>
      <c r="D25" s="19">
        <v>1.2</v>
      </c>
      <c r="E25" s="19">
        <v>10.7</v>
      </c>
      <c r="F25" s="19">
        <v>15.3</v>
      </c>
    </row>
    <row r="26" spans="1:6" ht="16.5" customHeight="1" x14ac:dyDescent="0.3">
      <c r="A26" s="17">
        <v>3</v>
      </c>
      <c r="B26" s="18">
        <v>31601184</v>
      </c>
      <c r="C26" s="18">
        <v>7288.5</v>
      </c>
      <c r="D26" s="19">
        <v>1.2</v>
      </c>
      <c r="E26" s="19">
        <v>10.7</v>
      </c>
      <c r="F26" s="19">
        <v>15.3</v>
      </c>
    </row>
    <row r="27" spans="1:6" ht="16.5" customHeight="1" x14ac:dyDescent="0.3">
      <c r="A27" s="17">
        <v>4</v>
      </c>
      <c r="B27" s="18">
        <v>31952245</v>
      </c>
      <c r="C27" s="18">
        <v>7242.9</v>
      </c>
      <c r="D27" s="19">
        <v>1.2</v>
      </c>
      <c r="E27" s="19">
        <v>10.7</v>
      </c>
      <c r="F27" s="19">
        <v>15.2</v>
      </c>
    </row>
    <row r="28" spans="1:6" ht="16.5" customHeight="1" x14ac:dyDescent="0.3">
      <c r="A28" s="17">
        <v>5</v>
      </c>
      <c r="B28" s="18">
        <v>32022518</v>
      </c>
      <c r="C28" s="18">
        <v>7305.8</v>
      </c>
      <c r="D28" s="19">
        <v>1.1000000000000001</v>
      </c>
      <c r="E28" s="19">
        <v>10.7</v>
      </c>
      <c r="F28" s="19">
        <v>15.3</v>
      </c>
    </row>
    <row r="29" spans="1:6" ht="16.5" customHeight="1" x14ac:dyDescent="0.3">
      <c r="A29" s="17">
        <v>6</v>
      </c>
      <c r="B29" s="21">
        <v>32017893</v>
      </c>
      <c r="C29" s="21">
        <v>7217.3</v>
      </c>
      <c r="D29" s="22">
        <v>1.1000000000000001</v>
      </c>
      <c r="E29" s="22">
        <v>10.7</v>
      </c>
      <c r="F29" s="22">
        <v>15.2</v>
      </c>
    </row>
    <row r="30" spans="1:6" ht="16.5" customHeight="1" x14ac:dyDescent="0.3">
      <c r="A30" s="23" t="s">
        <v>18</v>
      </c>
      <c r="B30" s="24">
        <f>AVERAGE(B24:B29)</f>
        <v>31955803.833333332</v>
      </c>
      <c r="C30" s="25">
        <f>AVERAGE(C24:C29)</f>
        <v>7278.1666666666679</v>
      </c>
      <c r="D30" s="26">
        <f>AVERAGE(D24:D29)</f>
        <v>1.1666666666666667</v>
      </c>
      <c r="E30" s="26">
        <f>AVERAGE(E24:E29)</f>
        <v>10.700000000000001</v>
      </c>
      <c r="F30" s="26">
        <f>AVERAGE(F24:F29)</f>
        <v>15.266666666666667</v>
      </c>
    </row>
    <row r="31" spans="1:6" ht="16.5" customHeight="1" x14ac:dyDescent="0.3">
      <c r="A31" s="27" t="s">
        <v>19</v>
      </c>
      <c r="B31" s="28">
        <f>(STDEV(B24:B29)/B30)</f>
        <v>5.615638579893497E-3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 t="s">
        <v>138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23" t="s">
        <v>26</v>
      </c>
      <c r="C59" s="52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view="pageLayout" topLeftCell="A18" zoomScaleNormal="100" workbookViewId="0">
      <selection activeCell="B20" sqref="B20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22" t="s">
        <v>0</v>
      </c>
      <c r="B15" s="522"/>
      <c r="C15" s="522"/>
      <c r="D15" s="522"/>
      <c r="E15" s="52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5" ht="16.5" customHeight="1" x14ac:dyDescent="0.3">
      <c r="A18" s="75" t="s">
        <v>4</v>
      </c>
      <c r="B18" s="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99.7</v>
      </c>
      <c r="C19" s="72"/>
      <c r="D19" s="72"/>
      <c r="E19" s="72"/>
    </row>
    <row r="20" spans="1:5" ht="16.5" customHeight="1" x14ac:dyDescent="0.3">
      <c r="A20" s="8" t="s">
        <v>8</v>
      </c>
      <c r="B20" s="12">
        <v>18.850000000000001</v>
      </c>
      <c r="C20" s="72"/>
      <c r="D20" s="72"/>
      <c r="E20" s="72"/>
    </row>
    <row r="21" spans="1:5" ht="16.5" customHeight="1" x14ac:dyDescent="0.3">
      <c r="A21" s="8" t="s">
        <v>10</v>
      </c>
      <c r="B21" s="13">
        <f>18.85/25*4/100</f>
        <v>3.0159999999999999E-2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2464622</v>
      </c>
      <c r="C24" s="18">
        <v>5234.2</v>
      </c>
      <c r="D24" s="19">
        <v>1.1000000000000001</v>
      </c>
      <c r="E24" s="20">
        <v>4.8</v>
      </c>
    </row>
    <row r="25" spans="1:5" ht="16.5" customHeight="1" x14ac:dyDescent="0.3">
      <c r="A25" s="17">
        <v>2</v>
      </c>
      <c r="B25" s="18">
        <v>2461557</v>
      </c>
      <c r="C25" s="18">
        <v>5181.6000000000004</v>
      </c>
      <c r="D25" s="19">
        <v>1.2</v>
      </c>
      <c r="E25" s="19">
        <v>4.8</v>
      </c>
    </row>
    <row r="26" spans="1:5" ht="16.5" customHeight="1" x14ac:dyDescent="0.3">
      <c r="A26" s="17">
        <v>3</v>
      </c>
      <c r="B26" s="18">
        <v>2424661</v>
      </c>
      <c r="C26" s="18">
        <v>5212.2</v>
      </c>
      <c r="D26" s="19">
        <v>1.1000000000000001</v>
      </c>
      <c r="E26" s="19">
        <v>4.8</v>
      </c>
    </row>
    <row r="27" spans="1:5" ht="16.5" customHeight="1" x14ac:dyDescent="0.3">
      <c r="A27" s="17">
        <v>4</v>
      </c>
      <c r="B27" s="18">
        <v>2453751</v>
      </c>
      <c r="C27" s="18">
        <v>5178.8999999999996</v>
      </c>
      <c r="D27" s="19">
        <v>1.2</v>
      </c>
      <c r="E27" s="19">
        <v>4.8</v>
      </c>
    </row>
    <row r="28" spans="1:5" ht="16.5" customHeight="1" x14ac:dyDescent="0.3">
      <c r="A28" s="17">
        <v>5</v>
      </c>
      <c r="B28" s="18">
        <v>2452421</v>
      </c>
      <c r="C28" s="18">
        <v>5240.6000000000004</v>
      </c>
      <c r="D28" s="19">
        <v>1.1000000000000001</v>
      </c>
      <c r="E28" s="19">
        <v>4.8</v>
      </c>
    </row>
    <row r="29" spans="1:5" ht="16.5" customHeight="1" x14ac:dyDescent="0.3">
      <c r="A29" s="17">
        <v>6</v>
      </c>
      <c r="B29" s="21">
        <v>2457928</v>
      </c>
      <c r="C29" s="21">
        <v>5182.8</v>
      </c>
      <c r="D29" s="22">
        <v>1.1000000000000001</v>
      </c>
      <c r="E29" s="22">
        <v>4.8</v>
      </c>
    </row>
    <row r="30" spans="1:5" ht="16.5" customHeight="1" x14ac:dyDescent="0.3">
      <c r="A30" s="23" t="s">
        <v>18</v>
      </c>
      <c r="B30" s="24">
        <f>AVERAGE(B24:B29)</f>
        <v>2452490</v>
      </c>
      <c r="C30" s="25">
        <f>AVERAGE(C24:C29)</f>
        <v>5205.05</v>
      </c>
      <c r="D30" s="26">
        <f>AVERAGE(D24:D29)</f>
        <v>1.1333333333333331</v>
      </c>
      <c r="E30" s="26">
        <f>AVERAGE(E24:E29)</f>
        <v>4.8</v>
      </c>
    </row>
    <row r="31" spans="1:5" ht="16.5" customHeight="1" x14ac:dyDescent="0.3">
      <c r="A31" s="27" t="s">
        <v>19</v>
      </c>
      <c r="B31" s="28">
        <f>(STDEV(B24:B29)/B30)</f>
        <v>5.8665295039509388E-3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523" t="s">
        <v>26</v>
      </c>
      <c r="C59" s="52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sulfamethoxazole</vt:lpstr>
      <vt:lpstr>trimethoprim</vt:lpstr>
      <vt:lpstr>SST(SULFA)</vt:lpstr>
      <vt:lpstr>SST (TRIM)</vt:lpstr>
      <vt:lpstr>'SST (TRIM)'!Print_Area</vt:lpstr>
      <vt:lpstr>'SST(SULFA)'!Print_Area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2018-07-17T09:49:36Z</cp:lastPrinted>
  <dcterms:created xsi:type="dcterms:W3CDTF">2005-07-05T10:19:27Z</dcterms:created>
  <dcterms:modified xsi:type="dcterms:W3CDTF">2018-07-17T12:08:28Z</dcterms:modified>
</cp:coreProperties>
</file>