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2"/>
  </bookViews>
  <sheets>
    <sheet name="SST" sheetId="1" r:id="rId1"/>
    <sheet name="Uniformity" sheetId="2" r:id="rId2"/>
    <sheet name="Isoniazid" sheetId="3" r:id="rId3"/>
  </sheets>
  <definedNames>
    <definedName name="_xlnm.Print_Area" localSheetId="2">Isoniazid!$A$1:$I$129</definedName>
    <definedName name="_xlnm.Print_Area" localSheetId="0">SST!$A$15:$G$61</definedName>
    <definedName name="_xlnm.Print_Area" localSheetId="1">Uniformity!$A$11:$F$54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50" i="2" s="1"/>
  <c r="C45" i="2"/>
  <c r="D33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2" l="1"/>
  <c r="B57" i="3"/>
  <c r="D28" i="2"/>
  <c r="D39" i="2"/>
  <c r="D24" i="2"/>
  <c r="D35" i="2"/>
  <c r="D27" i="2"/>
  <c r="D40" i="2"/>
  <c r="D25" i="2"/>
  <c r="D36" i="2"/>
  <c r="C49" i="2"/>
  <c r="D37" i="2"/>
  <c r="D29" i="2"/>
  <c r="D31" i="2"/>
  <c r="D41" i="2"/>
  <c r="D32" i="2"/>
  <c r="D43" i="2"/>
  <c r="I92" i="3"/>
  <c r="D101" i="3"/>
  <c r="D102" i="3" s="1"/>
  <c r="B69" i="3"/>
  <c r="I39" i="3"/>
  <c r="F45" i="3"/>
  <c r="F46" i="3" s="1"/>
  <c r="D49" i="3"/>
  <c r="F98" i="3"/>
  <c r="F99" i="3" s="1"/>
  <c r="C50" i="2"/>
  <c r="D97" i="3"/>
  <c r="D98" i="3" s="1"/>
  <c r="D99" i="3" s="1"/>
  <c r="D26" i="2"/>
  <c r="D30" i="2"/>
  <c r="D34" i="2"/>
  <c r="D38" i="2"/>
  <c r="D42" i="2"/>
  <c r="B49" i="2"/>
  <c r="D44" i="3"/>
  <c r="D45" i="3" s="1"/>
  <c r="D46" i="3" s="1"/>
  <c r="G92" i="3" l="1"/>
  <c r="E93" i="3"/>
  <c r="G38" i="3"/>
  <c r="G39" i="3"/>
  <c r="E39" i="3"/>
  <c r="G41" i="3"/>
  <c r="G40" i="3"/>
  <c r="E92" i="3"/>
  <c r="E94" i="3"/>
  <c r="G93" i="3"/>
  <c r="E91" i="3"/>
  <c r="E41" i="3"/>
  <c r="E40" i="3"/>
  <c r="G91" i="3"/>
  <c r="G94" i="3"/>
  <c r="E38" i="3"/>
  <c r="G42" i="3" l="1"/>
  <c r="G95" i="3"/>
  <c r="D50" i="3"/>
  <c r="E42" i="3"/>
  <c r="D52" i="3"/>
  <c r="D103" i="3"/>
  <c r="E95" i="3"/>
  <c r="D105" i="3"/>
  <c r="E113" i="3" l="1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4" i="3" l="1"/>
  <c r="G72" i="3"/>
  <c r="G73" i="3" s="1"/>
  <c r="H60" i="3"/>
  <c r="E120" i="3"/>
  <c r="E117" i="3"/>
  <c r="F108" i="3"/>
  <c r="E115" i="3"/>
  <c r="E116" i="3" s="1"/>
  <c r="E119" i="3"/>
  <c r="F125" i="3" l="1"/>
  <c r="F120" i="3"/>
  <c r="F117" i="3"/>
  <c r="D125" i="3"/>
  <c r="F115" i="3"/>
  <c r="F119" i="3"/>
  <c r="H74" i="3"/>
  <c r="H72" i="3"/>
  <c r="G76" i="3" l="1"/>
  <c r="H73" i="3"/>
  <c r="G124" i="3"/>
  <c r="F116" i="3"/>
</calcChain>
</file>

<file path=xl/sharedStrings.xml><?xml version="1.0" encoding="utf-8"?>
<sst xmlns="http://schemas.openxmlformats.org/spreadsheetml/2006/main" count="237" uniqueCount="138">
  <si>
    <t>HPLC System Suitability Report</t>
  </si>
  <si>
    <t>Analysis Data</t>
  </si>
  <si>
    <t>Assay</t>
  </si>
  <si>
    <t>Sample(s)</t>
  </si>
  <si>
    <t>Reference Substance:</t>
  </si>
  <si>
    <t xml:space="preserve">ISONIAZID TABLETS BP 300 mg </t>
  </si>
  <si>
    <t>% age Purity:</t>
  </si>
  <si>
    <t>NDQB201807009</t>
  </si>
  <si>
    <t>Weight (mg):</t>
  </si>
  <si>
    <t>Isoniazid BP</t>
  </si>
  <si>
    <t>Standard Conc (mg/mL):</t>
  </si>
  <si>
    <t>Each tablet contains: Isoniazid BP 300 mg.</t>
  </si>
  <si>
    <t>2018-07-04 10:03:33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</si>
  <si>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</si>
  <si>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</si>
  <si>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</si>
  <si>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</si>
  <si>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</si>
  <si>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</si>
  <si>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</si>
  <si>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</si>
  <si>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</si>
  <si>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</si>
  <si>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</si>
  <si>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</si>
  <si>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</si>
  <si>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</si>
  <si>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</si>
  <si>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</si>
  <si>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</si>
  <si>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</si>
  <si>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</si>
  <si>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</si>
  <si>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</si>
  <si>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</si>
  <si>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</si>
  <si>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</si>
  <si>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</si>
  <si>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</si>
  <si>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</si>
  <si>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</si>
  <si>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</si>
  <si>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</si>
  <si>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</si>
  <si>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</si>
  <si>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</si>
  <si>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</si>
  <si>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</si>
  <si>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</si>
  <si>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</si>
  <si>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</si>
  <si>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</si>
  <si>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</si>
  <si>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</si>
  <si>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</si>
  <si>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</si>
  <si>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</si>
  <si>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</si>
  <si>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</si>
  <si>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</si>
  <si>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</si>
  <si>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</si>
  <si>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</si>
  <si>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</si>
  <si>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</si>
  <si>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</si>
  <si>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</si>
  <si>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</si>
  <si>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</si>
  <si>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</si>
  <si>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</si>
  <si>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</si>
  <si>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</si>
  <si>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</si>
  <si>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</si>
  <si>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</si>
  <si>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</si>
  <si>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</si>
  <si>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</si>
  <si>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</si>
  <si>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</si>
  <si>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</si>
  <si>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</si>
  <si>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</si>
  <si>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</si>
  <si>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</si>
  <si>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</si>
  <si>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</si>
  <si>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</si>
  <si>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</si>
  <si>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</si>
  <si>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</si>
  <si>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</si>
  <si>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</si>
  <si>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</si>
  <si>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</si>
  <si>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</si>
  <si>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</si>
  <si>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</si>
  <si>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</si>
  <si>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</si>
  <si>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</si>
  <si>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</si>
  <si>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</si>
  <si>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</si>
  <si>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</si>
  <si>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</si>
  <si>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</si>
  <si>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</si>
  <si>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</si>
  <si>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</si>
  <si>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</si>
  <si>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</si>
  <si>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</si>
  <si>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</si>
  <si>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</si>
  <si>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</si>
  <si>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</si>
  <si>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</si>
  <si>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</si>
  <si>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</si>
  <si>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</si>
  <si>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</si>
  <si>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</si>
  <si>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</si>
  <si>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</si>
  <si>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</si>
  <si>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</si>
  <si>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</si>
  <si>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</si>
  <si>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</si>
  <si>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ISONIAZID </t>
  </si>
  <si>
    <t xml:space="preserve">Isoniazid </t>
  </si>
  <si>
    <r>
      <t xml:space="preserve">The number of Theoretical Plates (USP) for all peaks should </t>
    </r>
    <r>
      <rPr>
        <b/>
        <sz val="12"/>
        <color rgb="FF000000"/>
        <rFont val="Book Antiqua"/>
        <family val="1"/>
      </rPr>
      <t>NLT 1800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</si>
  <si>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1.0%.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</si>
  <si>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1.5</t>
    </r>
  </si>
  <si>
    <t>ISONIAZID</t>
  </si>
  <si>
    <t>I8-4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</si>
</sst>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70" fontId="13" fillId="3" borderId="13" xfId="0" applyNumberFormat="1" applyFont="1" applyFill="1" applyBorder="1" applyAlignment="1" applyProtection="1">
      <alignment horizontal="center"/>
      <protection locked="0"/>
    </xf>
    <xf numFmtId="170" fontId="13" fillId="3" borderId="14" xfId="0" applyNumberFormat="1" applyFont="1" applyFill="1" applyBorder="1" applyAlignment="1" applyProtection="1">
      <alignment horizontal="center"/>
      <protection locked="0"/>
    </xf>
    <xf numFmtId="170" fontId="13" fillId="3" borderId="15" xfId="0" applyNumberFormat="1" applyFont="1" applyFill="1" applyBorder="1" applyAlignment="1" applyProtection="1">
      <alignment horizontal="center"/>
      <protection locked="0"/>
    </xf>
    <xf numFmtId="170" fontId="13" fillId="3" borderId="23" xfId="0" applyNumberFormat="1" applyFont="1" applyFill="1" applyBorder="1" applyAlignment="1" applyProtection="1">
      <alignment horizontal="center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B29" sqref="B2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100.33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15.97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0.31940000000000002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96091954</v>
      </c>
      <c r="C24" s="19">
        <v>4597.8999999999996</v>
      </c>
      <c r="D24" s="19">
        <v>1.06</v>
      </c>
      <c r="E24" s="20">
        <v>4.5599999999999996</v>
      </c>
    </row>
    <row r="25" spans="1:6" ht="16.5" customHeight="1" x14ac:dyDescent="0.3">
      <c r="A25" s="17">
        <v>2</v>
      </c>
      <c r="B25" s="18">
        <v>96099670</v>
      </c>
      <c r="C25" s="19">
        <v>4657.67</v>
      </c>
      <c r="D25" s="19">
        <v>1.06</v>
      </c>
      <c r="E25" s="19">
        <v>4.5599999999999996</v>
      </c>
    </row>
    <row r="26" spans="1:6" ht="16.5" customHeight="1" x14ac:dyDescent="0.3">
      <c r="A26" s="17">
        <v>3</v>
      </c>
      <c r="B26" s="18">
        <v>95544788</v>
      </c>
      <c r="C26" s="19">
        <v>4691.58</v>
      </c>
      <c r="D26" s="19">
        <v>1.05</v>
      </c>
      <c r="E26" s="19">
        <v>4.5599999999999996</v>
      </c>
    </row>
    <row r="27" spans="1:6" ht="16.5" customHeight="1" x14ac:dyDescent="0.3">
      <c r="A27" s="17">
        <v>4</v>
      </c>
      <c r="B27" s="18">
        <v>96103191</v>
      </c>
      <c r="C27" s="19">
        <v>4678.76</v>
      </c>
      <c r="D27" s="19">
        <v>1.08</v>
      </c>
      <c r="E27" s="19">
        <v>4.5599999999999996</v>
      </c>
    </row>
    <row r="28" spans="1:6" ht="16.5" customHeight="1" x14ac:dyDescent="0.3">
      <c r="A28" s="17">
        <v>5</v>
      </c>
      <c r="B28" s="18">
        <v>96009277</v>
      </c>
      <c r="C28" s="19">
        <v>4748.43</v>
      </c>
      <c r="D28" s="19">
        <v>1.06</v>
      </c>
      <c r="E28" s="19">
        <v>4.5599999999999996</v>
      </c>
    </row>
    <row r="29" spans="1:6" ht="16.5" customHeight="1" x14ac:dyDescent="0.3">
      <c r="A29" s="17">
        <v>6</v>
      </c>
      <c r="B29" s="21">
        <v>96059309</v>
      </c>
      <c r="C29" s="22">
        <v>4744.3599999999997</v>
      </c>
      <c r="D29" s="22">
        <v>1.07</v>
      </c>
      <c r="E29" s="22">
        <v>4.5599999999999996</v>
      </c>
    </row>
    <row r="30" spans="1:6" ht="16.5" customHeight="1" x14ac:dyDescent="0.3">
      <c r="A30" s="23" t="s">
        <v>18</v>
      </c>
      <c r="B30" s="24">
        <f>AVERAGE(B24:B29)</f>
        <v>95984698.166666672</v>
      </c>
      <c r="C30" s="25">
        <f>AVERAGE(C24:C29)</f>
        <v>4686.45</v>
      </c>
      <c r="D30" s="26">
        <f>AVERAGE(D24:D29)</f>
        <v>1.0633333333333335</v>
      </c>
      <c r="E30" s="26">
        <f>AVERAGE(E24:E29)</f>
        <v>4.5599999999999996</v>
      </c>
    </row>
    <row r="31" spans="1:6" ht="16.5" customHeight="1" x14ac:dyDescent="0.3">
      <c r="A31" s="27" t="s">
        <v>19</v>
      </c>
      <c r="B31" s="28">
        <f>(STDEV(B24:B29)/B30)</f>
        <v>2.2751811052617154E-3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134</v>
      </c>
      <c r="C34" s="38"/>
      <c r="D34" s="38"/>
      <c r="E34" s="39"/>
    </row>
    <row r="35" spans="1:6" ht="16.5" customHeight="1" x14ac:dyDescent="0.3">
      <c r="A35" s="11"/>
      <c r="B35" s="37" t="s">
        <v>133</v>
      </c>
      <c r="C35" s="38"/>
      <c r="D35" s="38"/>
      <c r="E35" s="39"/>
      <c r="F35" s="2"/>
    </row>
    <row r="36" spans="1:6" ht="16.5" customHeight="1" x14ac:dyDescent="0.3">
      <c r="A36" s="11"/>
      <c r="B36" s="40" t="s">
        <v>135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8" t="s">
        <v>26</v>
      </c>
      <c r="C59" s="28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52" workbookViewId="0">
      <selection activeCell="C70" sqref="C70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2" t="s">
        <v>31</v>
      </c>
      <c r="B11" s="293"/>
      <c r="C11" s="293"/>
      <c r="D11" s="293"/>
      <c r="E11" s="293"/>
      <c r="F11" s="294"/>
      <c r="G11" s="91"/>
    </row>
    <row r="12" spans="1:7" ht="16.5" customHeight="1" x14ac:dyDescent="0.3">
      <c r="A12" s="291" t="s">
        <v>32</v>
      </c>
      <c r="B12" s="291"/>
      <c r="C12" s="291"/>
      <c r="D12" s="291"/>
      <c r="E12" s="291"/>
      <c r="F12" s="291"/>
      <c r="G12" s="90"/>
    </row>
    <row r="14" spans="1:7" ht="16.5" customHeight="1" x14ac:dyDescent="0.3">
      <c r="A14" s="296" t="s">
        <v>33</v>
      </c>
      <c r="B14" s="296"/>
      <c r="C14" s="60" t="s">
        <v>5</v>
      </c>
    </row>
    <row r="15" spans="1:7" ht="16.5" customHeight="1" x14ac:dyDescent="0.3">
      <c r="A15" s="296" t="s">
        <v>34</v>
      </c>
      <c r="B15" s="296"/>
      <c r="C15" s="60" t="s">
        <v>7</v>
      </c>
    </row>
    <row r="16" spans="1:7" ht="16.5" customHeight="1" x14ac:dyDescent="0.3">
      <c r="A16" s="296" t="s">
        <v>35</v>
      </c>
      <c r="B16" s="296"/>
      <c r="C16" s="60" t="s">
        <v>9</v>
      </c>
    </row>
    <row r="17" spans="1:5" ht="16.5" customHeight="1" x14ac:dyDescent="0.3">
      <c r="A17" s="296" t="s">
        <v>36</v>
      </c>
      <c r="B17" s="296"/>
      <c r="C17" s="60" t="s">
        <v>11</v>
      </c>
    </row>
    <row r="18" spans="1:5" ht="16.5" customHeight="1" x14ac:dyDescent="0.3">
      <c r="A18" s="296" t="s">
        <v>37</v>
      </c>
      <c r="B18" s="296"/>
      <c r="C18" s="97" t="s">
        <v>12</v>
      </c>
    </row>
    <row r="19" spans="1:5" ht="16.5" customHeight="1" x14ac:dyDescent="0.3">
      <c r="A19" s="296" t="s">
        <v>38</v>
      </c>
      <c r="B19" s="29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1" t="s">
        <v>1</v>
      </c>
      <c r="B21" s="291"/>
      <c r="C21" s="59" t="s">
        <v>39</v>
      </c>
      <c r="D21" s="66"/>
    </row>
    <row r="22" spans="1:5" ht="15.75" customHeight="1" x14ac:dyDescent="0.3">
      <c r="A22" s="295"/>
      <c r="B22" s="295"/>
      <c r="C22" s="57"/>
      <c r="D22" s="295"/>
      <c r="E22" s="29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397.62</v>
      </c>
      <c r="D24" s="87">
        <f t="shared" ref="D24:D43" si="0">(C24-$C$46)/$C$46</f>
        <v>-1.2468939413695269E-2</v>
      </c>
      <c r="E24" s="53"/>
    </row>
    <row r="25" spans="1:5" ht="15.75" customHeight="1" x14ac:dyDescent="0.3">
      <c r="C25" s="95">
        <v>398.55</v>
      </c>
      <c r="D25" s="88">
        <f t="shared" si="0"/>
        <v>-1.0159186669001164E-2</v>
      </c>
      <c r="E25" s="53"/>
    </row>
    <row r="26" spans="1:5" ht="15.75" customHeight="1" x14ac:dyDescent="0.3">
      <c r="C26" s="95">
        <v>400.23</v>
      </c>
      <c r="D26" s="88">
        <f t="shared" si="0"/>
        <v>-5.9867300979408594E-3</v>
      </c>
      <c r="E26" s="53"/>
    </row>
    <row r="27" spans="1:5" ht="15.75" customHeight="1" x14ac:dyDescent="0.3">
      <c r="C27" s="95">
        <v>406.35</v>
      </c>
      <c r="D27" s="88">
        <f t="shared" si="0"/>
        <v>9.2129331252073458E-3</v>
      </c>
      <c r="E27" s="53"/>
    </row>
    <row r="28" spans="1:5" ht="15.75" customHeight="1" x14ac:dyDescent="0.3">
      <c r="C28" s="95">
        <v>402.04</v>
      </c>
      <c r="D28" s="88">
        <f t="shared" si="0"/>
        <v>-1.491404863643757E-3</v>
      </c>
      <c r="E28" s="53"/>
    </row>
    <row r="29" spans="1:5" ht="15.75" customHeight="1" x14ac:dyDescent="0.3">
      <c r="C29" s="95">
        <v>404.36</v>
      </c>
      <c r="D29" s="88">
        <f t="shared" si="0"/>
        <v>4.2705589725823391E-3</v>
      </c>
      <c r="E29" s="53"/>
    </row>
    <row r="30" spans="1:5" ht="15.75" customHeight="1" x14ac:dyDescent="0.3">
      <c r="C30" s="95">
        <v>404.26</v>
      </c>
      <c r="D30" s="88">
        <f t="shared" si="0"/>
        <v>4.0221984624001228E-3</v>
      </c>
      <c r="E30" s="53"/>
    </row>
    <row r="31" spans="1:5" ht="15.75" customHeight="1" x14ac:dyDescent="0.3">
      <c r="C31" s="95">
        <v>398.18</v>
      </c>
      <c r="D31" s="88">
        <f t="shared" si="0"/>
        <v>-1.1078120556675168E-2</v>
      </c>
      <c r="E31" s="53"/>
    </row>
    <row r="32" spans="1:5" ht="15.75" customHeight="1" x14ac:dyDescent="0.3">
      <c r="C32" s="95">
        <v>403.69</v>
      </c>
      <c r="D32" s="88">
        <f t="shared" si="0"/>
        <v>2.6065435543618271E-3</v>
      </c>
      <c r="E32" s="53"/>
    </row>
    <row r="33" spans="1:7" ht="15.75" customHeight="1" x14ac:dyDescent="0.3">
      <c r="C33" s="95">
        <v>402.52</v>
      </c>
      <c r="D33" s="88">
        <f t="shared" si="0"/>
        <v>-2.9927441476948474E-4</v>
      </c>
      <c r="E33" s="53"/>
    </row>
    <row r="34" spans="1:7" ht="15.75" customHeight="1" x14ac:dyDescent="0.3">
      <c r="C34" s="95">
        <v>400.22</v>
      </c>
      <c r="D34" s="88">
        <f t="shared" si="0"/>
        <v>-6.0115661489590529E-3</v>
      </c>
      <c r="E34" s="53"/>
    </row>
    <row r="35" spans="1:7" ht="15.75" customHeight="1" x14ac:dyDescent="0.3">
      <c r="C35" s="95">
        <v>401.17</v>
      </c>
      <c r="D35" s="88">
        <f t="shared" si="0"/>
        <v>-3.6521413022285606E-3</v>
      </c>
      <c r="E35" s="53"/>
    </row>
    <row r="36" spans="1:7" ht="15.75" customHeight="1" x14ac:dyDescent="0.3">
      <c r="C36" s="95">
        <v>404.42</v>
      </c>
      <c r="D36" s="88">
        <f t="shared" si="0"/>
        <v>4.4195752786916403E-3</v>
      </c>
      <c r="E36" s="53"/>
    </row>
    <row r="37" spans="1:7" ht="15.75" customHeight="1" x14ac:dyDescent="0.3">
      <c r="C37" s="95">
        <v>406.51</v>
      </c>
      <c r="D37" s="88">
        <f t="shared" si="0"/>
        <v>9.6103099414987236E-3</v>
      </c>
      <c r="E37" s="53"/>
    </row>
    <row r="38" spans="1:7" ht="15.75" customHeight="1" x14ac:dyDescent="0.3">
      <c r="C38" s="95">
        <v>403.15</v>
      </c>
      <c r="D38" s="88">
        <f t="shared" si="0"/>
        <v>1.2653967993781121E-3</v>
      </c>
      <c r="E38" s="53"/>
    </row>
    <row r="39" spans="1:7" ht="15.75" customHeight="1" x14ac:dyDescent="0.3">
      <c r="C39" s="95">
        <v>406.65</v>
      </c>
      <c r="D39" s="88">
        <f t="shared" si="0"/>
        <v>9.9580146557537129E-3</v>
      </c>
      <c r="E39" s="53"/>
    </row>
    <row r="40" spans="1:7" ht="15.75" customHeight="1" x14ac:dyDescent="0.3">
      <c r="C40" s="95">
        <v>403.38</v>
      </c>
      <c r="D40" s="88">
        <f t="shared" si="0"/>
        <v>1.8366259727971253E-3</v>
      </c>
      <c r="E40" s="53"/>
    </row>
    <row r="41" spans="1:7" ht="15.75" customHeight="1" x14ac:dyDescent="0.3">
      <c r="C41" s="95">
        <v>404.99</v>
      </c>
      <c r="D41" s="88">
        <f t="shared" si="0"/>
        <v>5.8352301867299356E-3</v>
      </c>
      <c r="E41" s="53"/>
    </row>
    <row r="42" spans="1:7" ht="15.75" customHeight="1" x14ac:dyDescent="0.3">
      <c r="C42" s="95">
        <v>400.96</v>
      </c>
      <c r="D42" s="88">
        <f t="shared" si="0"/>
        <v>-4.1736983736111871E-3</v>
      </c>
      <c r="E42" s="53"/>
    </row>
    <row r="43" spans="1:7" ht="16.5" customHeight="1" x14ac:dyDescent="0.3">
      <c r="C43" s="96">
        <v>403.56</v>
      </c>
      <c r="D43" s="89">
        <f t="shared" si="0"/>
        <v>2.2836748911250304E-3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8052.8099999999995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402.64049999999997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9">
        <f>C46</f>
        <v>402.64049999999997</v>
      </c>
      <c r="C49" s="93">
        <f>-IF(C46&lt;=80,10%,IF(C46&lt;250,7.5%,5%))</f>
        <v>-0.05</v>
      </c>
      <c r="D49" s="81">
        <f>IF(C46&lt;=80,C46*0.9,IF(C46&lt;250,C46*0.925,C46*0.95))</f>
        <v>382.50847499999998</v>
      </c>
    </row>
    <row r="50" spans="1:6" ht="17.25" customHeight="1" x14ac:dyDescent="0.3">
      <c r="B50" s="290"/>
      <c r="C50" s="94">
        <f>IF(C46&lt;=80, 10%, IF(C46&lt;250, 7.5%, 5%))</f>
        <v>0.05</v>
      </c>
      <c r="D50" s="81">
        <f>IF(C46&lt;=80, C46*1.1, IF(C46&lt;250, C46*1.075, C46*1.05))</f>
        <v>422.77252499999997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46" zoomScale="80" zoomScaleNormal="80" zoomScalePageLayoutView="50" workbookViewId="0">
      <selection activeCell="H54" sqref="H5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97" t="s">
        <v>45</v>
      </c>
      <c r="B1" s="297"/>
      <c r="C1" s="297"/>
      <c r="D1" s="297"/>
      <c r="E1" s="297"/>
      <c r="F1" s="297"/>
      <c r="G1" s="297"/>
      <c r="H1" s="297"/>
      <c r="I1" s="297"/>
    </row>
    <row r="2" spans="1:9" ht="18.75" customHeight="1" x14ac:dyDescent="0.3">
      <c r="A2" s="297"/>
      <c r="B2" s="297"/>
      <c r="C2" s="297"/>
      <c r="D2" s="297"/>
      <c r="E2" s="297"/>
      <c r="F2" s="297"/>
      <c r="G2" s="297"/>
      <c r="H2" s="297"/>
      <c r="I2" s="297"/>
    </row>
    <row r="3" spans="1:9" ht="18.75" customHeight="1" x14ac:dyDescent="0.3">
      <c r="A3" s="297"/>
      <c r="B3" s="297"/>
      <c r="C3" s="297"/>
      <c r="D3" s="297"/>
      <c r="E3" s="297"/>
      <c r="F3" s="297"/>
      <c r="G3" s="297"/>
      <c r="H3" s="297"/>
      <c r="I3" s="297"/>
    </row>
    <row r="4" spans="1:9" ht="18.75" customHeight="1" x14ac:dyDescent="0.3">
      <c r="A4" s="297"/>
      <c r="B4" s="297"/>
      <c r="C4" s="297"/>
      <c r="D4" s="297"/>
      <c r="E4" s="297"/>
      <c r="F4" s="297"/>
      <c r="G4" s="297"/>
      <c r="H4" s="297"/>
      <c r="I4" s="297"/>
    </row>
    <row r="5" spans="1:9" ht="18.75" customHeight="1" x14ac:dyDescent="0.3">
      <c r="A5" s="297"/>
      <c r="B5" s="297"/>
      <c r="C5" s="297"/>
      <c r="D5" s="297"/>
      <c r="E5" s="297"/>
      <c r="F5" s="297"/>
      <c r="G5" s="297"/>
      <c r="H5" s="297"/>
      <c r="I5" s="297"/>
    </row>
    <row r="6" spans="1:9" ht="18.75" customHeight="1" x14ac:dyDescent="0.3">
      <c r="A6" s="297"/>
      <c r="B6" s="297"/>
      <c r="C6" s="297"/>
      <c r="D6" s="297"/>
      <c r="E6" s="297"/>
      <c r="F6" s="297"/>
      <c r="G6" s="297"/>
      <c r="H6" s="297"/>
      <c r="I6" s="297"/>
    </row>
    <row r="7" spans="1:9" ht="18.75" customHeight="1" x14ac:dyDescent="0.3">
      <c r="A7" s="297"/>
      <c r="B7" s="297"/>
      <c r="C7" s="297"/>
      <c r="D7" s="297"/>
      <c r="E7" s="297"/>
      <c r="F7" s="297"/>
      <c r="G7" s="297"/>
      <c r="H7" s="297"/>
      <c r="I7" s="297"/>
    </row>
    <row r="8" spans="1:9" x14ac:dyDescent="0.3">
      <c r="A8" s="298" t="s">
        <v>46</v>
      </c>
      <c r="B8" s="298"/>
      <c r="C8" s="298"/>
      <c r="D8" s="298"/>
      <c r="E8" s="298"/>
      <c r="F8" s="298"/>
      <c r="G8" s="298"/>
      <c r="H8" s="298"/>
      <c r="I8" s="298"/>
    </row>
    <row r="9" spans="1:9" x14ac:dyDescent="0.3">
      <c r="A9" s="298"/>
      <c r="B9" s="298"/>
      <c r="C9" s="298"/>
      <c r="D9" s="298"/>
      <c r="E9" s="298"/>
      <c r="F9" s="298"/>
      <c r="G9" s="298"/>
      <c r="H9" s="298"/>
      <c r="I9" s="298"/>
    </row>
    <row r="10" spans="1:9" x14ac:dyDescent="0.3">
      <c r="A10" s="298"/>
      <c r="B10" s="298"/>
      <c r="C10" s="298"/>
      <c r="D10" s="298"/>
      <c r="E10" s="298"/>
      <c r="F10" s="298"/>
      <c r="G10" s="298"/>
      <c r="H10" s="298"/>
      <c r="I10" s="298"/>
    </row>
    <row r="11" spans="1:9" x14ac:dyDescent="0.3">
      <c r="A11" s="298"/>
      <c r="B11" s="298"/>
      <c r="C11" s="298"/>
      <c r="D11" s="298"/>
      <c r="E11" s="298"/>
      <c r="F11" s="298"/>
      <c r="G11" s="298"/>
      <c r="H11" s="298"/>
      <c r="I11" s="298"/>
    </row>
    <row r="12" spans="1:9" x14ac:dyDescent="0.3">
      <c r="A12" s="298"/>
      <c r="B12" s="298"/>
      <c r="C12" s="298"/>
      <c r="D12" s="298"/>
      <c r="E12" s="298"/>
      <c r="F12" s="298"/>
      <c r="G12" s="298"/>
      <c r="H12" s="298"/>
      <c r="I12" s="298"/>
    </row>
    <row r="13" spans="1:9" x14ac:dyDescent="0.3">
      <c r="A13" s="298"/>
      <c r="B13" s="298"/>
      <c r="C13" s="298"/>
      <c r="D13" s="298"/>
      <c r="E13" s="298"/>
      <c r="F13" s="298"/>
      <c r="G13" s="298"/>
      <c r="H13" s="298"/>
      <c r="I13" s="298"/>
    </row>
    <row r="14" spans="1:9" x14ac:dyDescent="0.3">
      <c r="A14" s="298"/>
      <c r="B14" s="298"/>
      <c r="C14" s="298"/>
      <c r="D14" s="298"/>
      <c r="E14" s="298"/>
      <c r="F14" s="298"/>
      <c r="G14" s="298"/>
      <c r="H14" s="298"/>
      <c r="I14" s="298"/>
    </row>
    <row r="15" spans="1:9" ht="19.5" customHeight="1" x14ac:dyDescent="0.35">
      <c r="A15" s="98"/>
    </row>
    <row r="16" spans="1:9" ht="19.5" customHeight="1" x14ac:dyDescent="0.35">
      <c r="A16" s="330" t="s">
        <v>31</v>
      </c>
      <c r="B16" s="331"/>
      <c r="C16" s="331"/>
      <c r="D16" s="331"/>
      <c r="E16" s="331"/>
      <c r="F16" s="331"/>
      <c r="G16" s="331"/>
      <c r="H16" s="332"/>
    </row>
    <row r="17" spans="1:14" ht="20.25" customHeight="1" x14ac:dyDescent="0.3">
      <c r="A17" s="333" t="s">
        <v>47</v>
      </c>
      <c r="B17" s="333"/>
      <c r="C17" s="333"/>
      <c r="D17" s="333"/>
      <c r="E17" s="333"/>
      <c r="F17" s="333"/>
      <c r="G17" s="333"/>
      <c r="H17" s="333"/>
    </row>
    <row r="18" spans="1:14" ht="26.25" customHeight="1" x14ac:dyDescent="0.5">
      <c r="A18" s="100" t="s">
        <v>33</v>
      </c>
      <c r="B18" s="329" t="s">
        <v>5</v>
      </c>
      <c r="C18" s="329"/>
      <c r="D18" s="244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34" t="s">
        <v>131</v>
      </c>
      <c r="C20" s="334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34" t="s">
        <v>11</v>
      </c>
      <c r="C21" s="334"/>
      <c r="D21" s="334"/>
      <c r="E21" s="334"/>
      <c r="F21" s="334"/>
      <c r="G21" s="334"/>
      <c r="H21" s="334"/>
      <c r="I21" s="104"/>
    </row>
    <row r="22" spans="1:14" ht="26.25" customHeight="1" x14ac:dyDescent="0.5">
      <c r="A22" s="100" t="s">
        <v>37</v>
      </c>
      <c r="B22" s="105">
        <v>43287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>
        <v>43291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29" t="s">
        <v>136</v>
      </c>
      <c r="C26" s="329"/>
    </row>
    <row r="27" spans="1:14" ht="26.25" customHeight="1" x14ac:dyDescent="0.5">
      <c r="A27" s="109" t="s">
        <v>48</v>
      </c>
      <c r="B27" s="335" t="s">
        <v>137</v>
      </c>
      <c r="C27" s="335"/>
    </row>
    <row r="28" spans="1:14" ht="27" customHeight="1" x14ac:dyDescent="0.45">
      <c r="A28" s="109" t="s">
        <v>6</v>
      </c>
      <c r="B28" s="110">
        <v>100.33</v>
      </c>
    </row>
    <row r="29" spans="1:14" s="14" customFormat="1" ht="27" customHeight="1" x14ac:dyDescent="0.5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100.33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50</v>
      </c>
      <c r="C36" s="99"/>
      <c r="D36" s="311" t="s">
        <v>59</v>
      </c>
      <c r="E36" s="336"/>
      <c r="F36" s="311" t="s">
        <v>60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94194666</v>
      </c>
      <c r="E38" s="133">
        <f>IF(ISBLANK(D38),"-",$D$48/$D$45*D38)</f>
        <v>94061210.77838251</v>
      </c>
      <c r="F38" s="132">
        <v>96820819</v>
      </c>
      <c r="G38" s="134">
        <f>IF(ISBLANK(F38),"-",$D$48/$F$45*F38)</f>
        <v>94726244.13056545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94631526</v>
      </c>
      <c r="E39" s="138">
        <f>IF(ISBLANK(D39),"-",$D$48/$D$45*D39)</f>
        <v>94497451.834119618</v>
      </c>
      <c r="F39" s="137">
        <v>96400438</v>
      </c>
      <c r="G39" s="139">
        <f>IF(ISBLANK(F39),"-",$D$48/$F$45*F39)</f>
        <v>94314957.450230196</v>
      </c>
      <c r="I39" s="313">
        <f>ABS((F43/D43*D42)-F42)/D42</f>
        <v>1.3051256514798673E-3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94564713</v>
      </c>
      <c r="E40" s="138">
        <f>IF(ISBLANK(D40),"-",$D$48/$D$45*D40)</f>
        <v>94430733.494933233</v>
      </c>
      <c r="F40" s="137">
        <v>96395426</v>
      </c>
      <c r="G40" s="139">
        <f>IF(ISBLANK(F40),"-",$D$48/$F$45*F40)</f>
        <v>94310053.877419248</v>
      </c>
      <c r="I40" s="313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94463635</v>
      </c>
      <c r="E42" s="148">
        <f>AVERAGE(E38:E41)</f>
        <v>94329798.702478454</v>
      </c>
      <c r="F42" s="147">
        <f>AVERAGE(F38:F41)</f>
        <v>96538894.333333328</v>
      </c>
      <c r="G42" s="149">
        <f>AVERAGE(G38:G41)</f>
        <v>94450418.486071631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15.97</v>
      </c>
      <c r="E43" s="140"/>
      <c r="F43" s="338">
        <v>16.3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15.97</v>
      </c>
      <c r="E44" s="155"/>
      <c r="F44" s="154">
        <f>F43*$B$34</f>
        <v>16.3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16.022700999999998</v>
      </c>
      <c r="E45" s="158"/>
      <c r="F45" s="157">
        <f>F44*$B$30/100</f>
        <v>16.35379</v>
      </c>
      <c r="H45" s="150"/>
    </row>
    <row r="46" spans="1:14" ht="19.5" customHeight="1" x14ac:dyDescent="0.35">
      <c r="A46" s="299" t="s">
        <v>78</v>
      </c>
      <c r="B46" s="300"/>
      <c r="C46" s="153" t="s">
        <v>79</v>
      </c>
      <c r="D46" s="159">
        <f>D45/$B$45</f>
        <v>0.32045401999999995</v>
      </c>
      <c r="E46" s="160"/>
      <c r="F46" s="161">
        <f>F45/$B$45</f>
        <v>0.32707580000000003</v>
      </c>
      <c r="H46" s="150"/>
    </row>
    <row r="47" spans="1:14" ht="27" customHeight="1" x14ac:dyDescent="0.45">
      <c r="A47" s="301"/>
      <c r="B47" s="302"/>
      <c r="C47" s="162" t="s">
        <v>80</v>
      </c>
      <c r="D47" s="163">
        <v>0.32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16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94390108.594275042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2.3517995112552802E-3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Isoniazid BP 300 mg.</v>
      </c>
    </row>
    <row r="56" spans="1:12" ht="26.25" customHeight="1" x14ac:dyDescent="0.45">
      <c r="A56" s="177" t="s">
        <v>87</v>
      </c>
      <c r="B56" s="178">
        <v>300</v>
      </c>
      <c r="C56" s="99" t="str">
        <f>B20</f>
        <v xml:space="preserve">ISONIAZID </v>
      </c>
      <c r="H56" s="179"/>
    </row>
    <row r="57" spans="1:12" ht="18" x14ac:dyDescent="0.35">
      <c r="A57" s="176" t="s">
        <v>88</v>
      </c>
      <c r="B57" s="245">
        <f>Uniformity!C46</f>
        <v>402.64049999999997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1</v>
      </c>
      <c r="C60" s="316" t="s">
        <v>94</v>
      </c>
      <c r="D60" s="319">
        <v>59.86</v>
      </c>
      <c r="E60" s="182">
        <v>1</v>
      </c>
      <c r="F60" s="183">
        <v>120490670</v>
      </c>
      <c r="G60" s="246">
        <f>IF(ISBLANK(F60),"-",(F60/$D$50*$D$47*$B$68)*($B$57/$D$60))</f>
        <v>274.76262452745522</v>
      </c>
      <c r="H60" s="264">
        <f t="shared" ref="H60:H71" si="0">IF(ISBLANK(F60),"-",(G60/$B$56)*100)</f>
        <v>91.587541509151734</v>
      </c>
      <c r="L60" s="112"/>
    </row>
    <row r="61" spans="1:12" s="14" customFormat="1" ht="26.25" customHeight="1" x14ac:dyDescent="0.45">
      <c r="A61" s="124" t="s">
        <v>95</v>
      </c>
      <c r="B61" s="125">
        <v>1</v>
      </c>
      <c r="C61" s="317"/>
      <c r="D61" s="320"/>
      <c r="E61" s="184">
        <v>2</v>
      </c>
      <c r="F61" s="137">
        <v>119242329</v>
      </c>
      <c r="G61" s="247">
        <f>IF(ISBLANK(F61),"-",(F61/$D$50*$D$47*$B$68)*($B$57/$D$60))</f>
        <v>271.91595225428063</v>
      </c>
      <c r="H61" s="265">
        <f t="shared" si="0"/>
        <v>90.63865075142688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17"/>
      <c r="D62" s="320"/>
      <c r="E62" s="184">
        <v>3</v>
      </c>
      <c r="F62" s="185">
        <v>119541820</v>
      </c>
      <c r="G62" s="247">
        <f>IF(ISBLANK(F62),"-",(F62/$D$50*$D$47*$B$68)*($B$57/$D$60))</f>
        <v>272.59890084426155</v>
      </c>
      <c r="H62" s="265">
        <f t="shared" si="0"/>
        <v>90.866300281420521</v>
      </c>
      <c r="L62" s="112"/>
    </row>
    <row r="63" spans="1:12" ht="27" customHeight="1" x14ac:dyDescent="0.45">
      <c r="A63" s="124" t="s">
        <v>97</v>
      </c>
      <c r="B63" s="125">
        <v>1</v>
      </c>
      <c r="C63" s="326"/>
      <c r="D63" s="321"/>
      <c r="E63" s="186">
        <v>4</v>
      </c>
      <c r="F63" s="187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16" t="s">
        <v>99</v>
      </c>
      <c r="D64" s="319">
        <v>48.92</v>
      </c>
      <c r="E64" s="182">
        <v>1</v>
      </c>
      <c r="F64" s="183">
        <v>95506085</v>
      </c>
      <c r="G64" s="246">
        <f>IF(ISBLANK(F64),"-",(F64/$D$50*$D$47*$B$68)*($B$57/$D$64))</f>
        <v>266.49283912380088</v>
      </c>
      <c r="H64" s="264">
        <f t="shared" si="0"/>
        <v>88.830946374600302</v>
      </c>
    </row>
    <row r="65" spans="1:8" ht="26.25" customHeight="1" x14ac:dyDescent="0.45">
      <c r="A65" s="124" t="s">
        <v>100</v>
      </c>
      <c r="B65" s="125">
        <v>1</v>
      </c>
      <c r="C65" s="317"/>
      <c r="D65" s="320"/>
      <c r="E65" s="184">
        <v>2</v>
      </c>
      <c r="F65" s="137">
        <v>95401312</v>
      </c>
      <c r="G65" s="247">
        <f>IF(ISBLANK(F65),"-",(F65/$D$50*$D$47*$B$68)*($B$57/$D$64))</f>
        <v>266.20048859730281</v>
      </c>
      <c r="H65" s="265">
        <f t="shared" si="0"/>
        <v>88.733496199100941</v>
      </c>
    </row>
    <row r="66" spans="1:8" ht="26.25" customHeight="1" x14ac:dyDescent="0.45">
      <c r="A66" s="124" t="s">
        <v>101</v>
      </c>
      <c r="B66" s="125">
        <v>1</v>
      </c>
      <c r="C66" s="317"/>
      <c r="D66" s="320"/>
      <c r="E66" s="184">
        <v>3</v>
      </c>
      <c r="F66" s="137">
        <v>95300794</v>
      </c>
      <c r="G66" s="247">
        <f>IF(ISBLANK(F66),"-",(F66/$D$50*$D$47*$B$68)*($B$57/$D$64))</f>
        <v>265.92001089577155</v>
      </c>
      <c r="H66" s="265">
        <f t="shared" si="0"/>
        <v>88.640003631923847</v>
      </c>
    </row>
    <row r="67" spans="1:8" ht="27" customHeight="1" x14ac:dyDescent="0.45">
      <c r="A67" s="124" t="s">
        <v>102</v>
      </c>
      <c r="B67" s="125">
        <v>1</v>
      </c>
      <c r="C67" s="326"/>
      <c r="D67" s="321"/>
      <c r="E67" s="186">
        <v>4</v>
      </c>
      <c r="F67" s="187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100</v>
      </c>
      <c r="C68" s="316" t="s">
        <v>104</v>
      </c>
      <c r="D68" s="319">
        <v>43.16</v>
      </c>
      <c r="E68" s="182">
        <v>1</v>
      </c>
      <c r="F68" s="183">
        <v>86879057</v>
      </c>
      <c r="G68" s="246">
        <f>IF(ISBLANK(F68),"-",(F68/$D$50*$D$47*$B$68)*($B$57/$D$68))</f>
        <v>274.7733518990691</v>
      </c>
      <c r="H68" s="265">
        <f t="shared" si="0"/>
        <v>91.591117299689699</v>
      </c>
    </row>
    <row r="69" spans="1:8" ht="27" customHeight="1" x14ac:dyDescent="0.5">
      <c r="A69" s="172" t="s">
        <v>105</v>
      </c>
      <c r="B69" s="189">
        <f>(D47*B68)/B56*B57</f>
        <v>42.948320000000002</v>
      </c>
      <c r="C69" s="317"/>
      <c r="D69" s="320"/>
      <c r="E69" s="184">
        <v>2</v>
      </c>
      <c r="F69" s="137">
        <v>86418220</v>
      </c>
      <c r="G69" s="247">
        <f>IF(ISBLANK(F69),"-",(F69/$D$50*$D$47*$B$68)*($B$57/$D$68))</f>
        <v>273.31585763587611</v>
      </c>
      <c r="H69" s="265">
        <f t="shared" si="0"/>
        <v>91.105285878625381</v>
      </c>
    </row>
    <row r="70" spans="1:8" ht="26.25" customHeight="1" x14ac:dyDescent="0.45">
      <c r="A70" s="322" t="s">
        <v>78</v>
      </c>
      <c r="B70" s="323"/>
      <c r="C70" s="317"/>
      <c r="D70" s="320"/>
      <c r="E70" s="184">
        <v>3</v>
      </c>
      <c r="F70" s="137">
        <v>86410899</v>
      </c>
      <c r="G70" s="247">
        <f>IF(ISBLANK(F70),"-",(F70/$D$50*$D$47*$B$68)*($B$57/$D$68))</f>
        <v>273.29270342842136</v>
      </c>
      <c r="H70" s="265">
        <f t="shared" si="0"/>
        <v>91.097567809473787</v>
      </c>
    </row>
    <row r="71" spans="1:8" ht="27" customHeight="1" x14ac:dyDescent="0.45">
      <c r="A71" s="324"/>
      <c r="B71" s="325"/>
      <c r="C71" s="318"/>
      <c r="D71" s="321"/>
      <c r="E71" s="186">
        <v>4</v>
      </c>
      <c r="F71" s="187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2">
        <f>AVERAGE(G60:G71)</f>
        <v>271.0303032451377</v>
      </c>
      <c r="H72" s="267">
        <f>AVERAGE(H60:H71)</f>
        <v>90.343434415045905</v>
      </c>
    </row>
    <row r="73" spans="1:8" ht="26.25" customHeight="1" x14ac:dyDescent="0.45">
      <c r="C73" s="190"/>
      <c r="D73" s="190"/>
      <c r="E73" s="190"/>
      <c r="F73" s="193" t="s">
        <v>84</v>
      </c>
      <c r="G73" s="251">
        <f>STDEV(G60:G71)/G72</f>
        <v>1.377807319702829E-2</v>
      </c>
      <c r="H73" s="251">
        <f>STDEV(H60:H71)/H72</f>
        <v>1.3778073197028277E-2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303" t="str">
        <f>B26</f>
        <v>ISONIAZID</v>
      </c>
      <c r="D76" s="303"/>
      <c r="E76" s="198" t="s">
        <v>108</v>
      </c>
      <c r="F76" s="198"/>
      <c r="G76" s="280">
        <f>H72</f>
        <v>90.343434415045905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37" t="str">
        <f>B26</f>
        <v>ISONIAZID</v>
      </c>
      <c r="C79" s="337"/>
    </row>
    <row r="80" spans="1:8" ht="26.25" customHeight="1" x14ac:dyDescent="0.45">
      <c r="A80" s="109" t="s">
        <v>48</v>
      </c>
      <c r="B80" s="337" t="str">
        <f>B27</f>
        <v>I8-4</v>
      </c>
      <c r="C80" s="337"/>
    </row>
    <row r="81" spans="1:12" ht="27" customHeight="1" x14ac:dyDescent="0.45">
      <c r="A81" s="109" t="s">
        <v>6</v>
      </c>
      <c r="B81" s="201">
        <f>B28</f>
        <v>100.33</v>
      </c>
    </row>
    <row r="82" spans="1:12" s="14" customFormat="1" ht="27" customHeight="1" x14ac:dyDescent="0.5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100.33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50</v>
      </c>
      <c r="D89" s="202" t="s">
        <v>59</v>
      </c>
      <c r="E89" s="203"/>
      <c r="F89" s="311" t="s">
        <v>60</v>
      </c>
      <c r="G89" s="312"/>
    </row>
    <row r="90" spans="1:12" ht="27" customHeight="1" x14ac:dyDescent="0.45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50</v>
      </c>
      <c r="C91" s="206">
        <v>1</v>
      </c>
      <c r="D91" s="132">
        <v>0.51800000000000002</v>
      </c>
      <c r="E91" s="133">
        <f>IF(ISBLANK(D91),"-",$D$101/$D$98*D91)</f>
        <v>0.53881885041313171</v>
      </c>
      <c r="F91" s="132">
        <v>0.53700000000000003</v>
      </c>
      <c r="G91" s="134">
        <f>IF(ISBLANK(F91),"-",$D$101/$F$98*F91)</f>
        <v>0.54727375122219379</v>
      </c>
      <c r="I91" s="135"/>
    </row>
    <row r="92" spans="1:12" ht="26.25" customHeight="1" x14ac:dyDescent="0.45">
      <c r="A92" s="124" t="s">
        <v>67</v>
      </c>
      <c r="B92" s="125">
        <v>10</v>
      </c>
      <c r="C92" s="191">
        <v>2</v>
      </c>
      <c r="D92" s="137">
        <v>0.52700000000000002</v>
      </c>
      <c r="E92" s="138">
        <f>IF(ISBLANK(D92),"-",$D$101/$D$98*D92)</f>
        <v>0.54818056789135217</v>
      </c>
      <c r="F92" s="137">
        <v>0.53900000000000003</v>
      </c>
      <c r="G92" s="139">
        <f>IF(ISBLANK(F92),"-",$D$101/$F$98*F92)</f>
        <v>0.54931201472767677</v>
      </c>
      <c r="I92" s="313">
        <f>ABS((F96/D96*D95)-F95)/D95</f>
        <v>4.0981602409279321E-3</v>
      </c>
    </row>
    <row r="93" spans="1:12" ht="26.25" customHeight="1" x14ac:dyDescent="0.45">
      <c r="A93" s="124" t="s">
        <v>68</v>
      </c>
      <c r="B93" s="125">
        <v>25</v>
      </c>
      <c r="C93" s="191">
        <v>3</v>
      </c>
      <c r="D93" s="284">
        <v>0.53</v>
      </c>
      <c r="E93" s="138">
        <f>IF(ISBLANK(D93),"-",$D$101/$D$98*D93)</f>
        <v>0.55130114038409228</v>
      </c>
      <c r="F93" s="137">
        <v>0.53800000000000003</v>
      </c>
      <c r="G93" s="139">
        <f>IF(ISBLANK(F93),"-",$D$101/$F$98*F93)</f>
        <v>0.54829288297493528</v>
      </c>
      <c r="I93" s="313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85">
        <f>AVERAGE(D91:D94)</f>
        <v>0.52500000000000002</v>
      </c>
      <c r="E95" s="148">
        <f>AVERAGE(E91:E94)</f>
        <v>0.5461001862295255</v>
      </c>
      <c r="F95" s="286">
        <f>AVERAGE(F91:F94)</f>
        <v>0.53800000000000003</v>
      </c>
      <c r="G95" s="210">
        <f>AVERAGE(G91:G94)</f>
        <v>0.54829288297493528</v>
      </c>
    </row>
    <row r="96" spans="1:12" ht="26.25" customHeight="1" x14ac:dyDescent="0.45">
      <c r="A96" s="124" t="s">
        <v>72</v>
      </c>
      <c r="B96" s="110">
        <v>1</v>
      </c>
      <c r="C96" s="211" t="s">
        <v>113</v>
      </c>
      <c r="D96" s="212">
        <v>15.97</v>
      </c>
      <c r="E96" s="140"/>
      <c r="F96" s="338">
        <v>16.3</v>
      </c>
    </row>
    <row r="97" spans="1:10" ht="26.25" customHeight="1" x14ac:dyDescent="0.45">
      <c r="A97" s="124" t="s">
        <v>74</v>
      </c>
      <c r="B97" s="110">
        <v>1</v>
      </c>
      <c r="C97" s="213" t="s">
        <v>114</v>
      </c>
      <c r="D97" s="214">
        <f>D96*$B$87</f>
        <v>15.97</v>
      </c>
      <c r="E97" s="155"/>
      <c r="F97" s="154">
        <f>F96*$B$87</f>
        <v>16.3</v>
      </c>
    </row>
    <row r="98" spans="1:10" ht="19.5" customHeight="1" x14ac:dyDescent="0.35">
      <c r="A98" s="124" t="s">
        <v>76</v>
      </c>
      <c r="B98" s="215">
        <f>(B97/B96)*(B95/B94)*(B93/B92)*(B91/B90)*B89</f>
        <v>1250</v>
      </c>
      <c r="C98" s="213" t="s">
        <v>115</v>
      </c>
      <c r="D98" s="216">
        <f>D97*$B$83/100</f>
        <v>16.022700999999998</v>
      </c>
      <c r="E98" s="158"/>
      <c r="F98" s="157">
        <f>F97*$B$83/100</f>
        <v>16.35379</v>
      </c>
    </row>
    <row r="99" spans="1:10" ht="19.5" customHeight="1" x14ac:dyDescent="0.35">
      <c r="A99" s="299" t="s">
        <v>78</v>
      </c>
      <c r="B99" s="314"/>
      <c r="C99" s="213" t="s">
        <v>116</v>
      </c>
      <c r="D99" s="217">
        <f>D98/$B$98</f>
        <v>1.2818160799999999E-2</v>
      </c>
      <c r="E99" s="158"/>
      <c r="F99" s="161">
        <f>F98/$B$98</f>
        <v>1.3083032E-2</v>
      </c>
      <c r="G99" s="218"/>
      <c r="H99" s="150"/>
    </row>
    <row r="100" spans="1:10" ht="19.5" customHeight="1" x14ac:dyDescent="0.35">
      <c r="A100" s="301"/>
      <c r="B100" s="315"/>
      <c r="C100" s="213" t="s">
        <v>80</v>
      </c>
      <c r="D100" s="219">
        <f>$B$56/$B$116</f>
        <v>1.3333333333333334E-2</v>
      </c>
      <c r="F100" s="166"/>
      <c r="G100" s="220"/>
      <c r="H100" s="150"/>
    </row>
    <row r="101" spans="1:10" ht="18" x14ac:dyDescent="0.35">
      <c r="C101" s="213" t="s">
        <v>81</v>
      </c>
      <c r="D101" s="214">
        <f>D100*$B$98</f>
        <v>16.666666666666668</v>
      </c>
      <c r="F101" s="166"/>
      <c r="G101" s="218"/>
      <c r="H101" s="150"/>
    </row>
    <row r="102" spans="1:10" ht="19.5" customHeight="1" x14ac:dyDescent="0.35">
      <c r="C102" s="221" t="s">
        <v>82</v>
      </c>
      <c r="D102" s="222">
        <f>D101/B34</f>
        <v>16.666666666666668</v>
      </c>
      <c r="F102" s="170"/>
      <c r="G102" s="218"/>
      <c r="H102" s="150"/>
      <c r="J102" s="223"/>
    </row>
    <row r="103" spans="1:10" ht="18" x14ac:dyDescent="0.35">
      <c r="C103" s="224" t="s">
        <v>117</v>
      </c>
      <c r="D103" s="225">
        <f>AVERAGE(E91:E94,G91:G94)</f>
        <v>0.54719653460223039</v>
      </c>
      <c r="F103" s="170"/>
      <c r="G103" s="226"/>
      <c r="H103" s="150"/>
      <c r="J103" s="227"/>
    </row>
    <row r="104" spans="1:10" ht="18" x14ac:dyDescent="0.35">
      <c r="C104" s="193" t="s">
        <v>84</v>
      </c>
      <c r="D104" s="228">
        <f>STDEV(E91:E94,G91:G94)/D103</f>
        <v>7.9105459981061634E-3</v>
      </c>
      <c r="F104" s="170"/>
      <c r="G104" s="218"/>
      <c r="H104" s="150"/>
      <c r="J104" s="227"/>
    </row>
    <row r="105" spans="1:10" ht="19.5" customHeight="1" x14ac:dyDescent="0.35">
      <c r="C105" s="195" t="s">
        <v>20</v>
      </c>
      <c r="D105" s="229">
        <f>COUNT(E91:E94,G91:G94)</f>
        <v>6</v>
      </c>
      <c r="F105" s="170"/>
      <c r="G105" s="218"/>
      <c r="H105" s="150"/>
      <c r="J105" s="227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5">
      <c r="A108" s="124" t="s">
        <v>122</v>
      </c>
      <c r="B108" s="125">
        <v>5</v>
      </c>
      <c r="C108" s="271">
        <v>1</v>
      </c>
      <c r="D108" s="281">
        <v>0.51600000000000001</v>
      </c>
      <c r="E108" s="248">
        <f t="shared" ref="E108:E113" si="1">IF(ISBLANK(D108),"-",D108/$D$103*$D$100*$B$116)</f>
        <v>282.89652841556762</v>
      </c>
      <c r="F108" s="272">
        <f t="shared" ref="F108:F113" si="2">IF(ISBLANK(D108), "-", (E108/$B$56)*100)</f>
        <v>94.29884280518921</v>
      </c>
    </row>
    <row r="109" spans="1:10" ht="26.25" customHeight="1" x14ac:dyDescent="0.45">
      <c r="A109" s="124" t="s">
        <v>95</v>
      </c>
      <c r="B109" s="125">
        <v>50</v>
      </c>
      <c r="C109" s="269">
        <v>2</v>
      </c>
      <c r="D109" s="282">
        <v>0.52</v>
      </c>
      <c r="E109" s="249">
        <f t="shared" si="1"/>
        <v>285.08952475987439</v>
      </c>
      <c r="F109" s="273">
        <f t="shared" si="2"/>
        <v>95.029841586624798</v>
      </c>
    </row>
    <row r="110" spans="1:10" ht="26.25" customHeight="1" x14ac:dyDescent="0.45">
      <c r="A110" s="124" t="s">
        <v>96</v>
      </c>
      <c r="B110" s="125">
        <v>10</v>
      </c>
      <c r="C110" s="269">
        <v>3</v>
      </c>
      <c r="D110" s="282">
        <v>0.53600000000000003</v>
      </c>
      <c r="E110" s="249">
        <f t="shared" si="1"/>
        <v>293.86151013710128</v>
      </c>
      <c r="F110" s="273">
        <f t="shared" si="2"/>
        <v>97.953836712367092</v>
      </c>
    </row>
    <row r="111" spans="1:10" ht="26.25" customHeight="1" x14ac:dyDescent="0.45">
      <c r="A111" s="124" t="s">
        <v>97</v>
      </c>
      <c r="B111" s="125">
        <v>25</v>
      </c>
      <c r="C111" s="269">
        <v>4</v>
      </c>
      <c r="D111" s="282">
        <v>0.52700000000000002</v>
      </c>
      <c r="E111" s="249">
        <f t="shared" si="1"/>
        <v>288.92726836241116</v>
      </c>
      <c r="F111" s="273">
        <f t="shared" si="2"/>
        <v>96.309089454137052</v>
      </c>
    </row>
    <row r="112" spans="1:10" ht="26.25" customHeight="1" x14ac:dyDescent="0.45">
      <c r="A112" s="124" t="s">
        <v>98</v>
      </c>
      <c r="B112" s="125">
        <v>1</v>
      </c>
      <c r="C112" s="269">
        <v>5</v>
      </c>
      <c r="D112" s="282">
        <v>0.51800000000000002</v>
      </c>
      <c r="E112" s="249">
        <f t="shared" si="1"/>
        <v>283.99302658772103</v>
      </c>
      <c r="F112" s="273">
        <f t="shared" si="2"/>
        <v>94.664342195907011</v>
      </c>
    </row>
    <row r="113" spans="1:10" ht="27" customHeight="1" x14ac:dyDescent="0.45">
      <c r="A113" s="124" t="s">
        <v>100</v>
      </c>
      <c r="B113" s="125">
        <v>1</v>
      </c>
      <c r="C113" s="270">
        <v>6</v>
      </c>
      <c r="D113" s="283">
        <v>0.52900000000000003</v>
      </c>
      <c r="E113" s="250">
        <f t="shared" si="1"/>
        <v>290.02376653456452</v>
      </c>
      <c r="F113" s="274">
        <f t="shared" si="2"/>
        <v>96.674588844854838</v>
      </c>
    </row>
    <row r="114" spans="1:10" ht="27" customHeight="1" x14ac:dyDescent="0.45">
      <c r="A114" s="124" t="s">
        <v>101</v>
      </c>
      <c r="B114" s="125">
        <v>1</v>
      </c>
      <c r="C114" s="231"/>
      <c r="D114" s="191"/>
      <c r="E114" s="98"/>
      <c r="F114" s="275"/>
    </row>
    <row r="115" spans="1:10" ht="26.25" customHeight="1" x14ac:dyDescent="0.45">
      <c r="A115" s="124" t="s">
        <v>102</v>
      </c>
      <c r="B115" s="125">
        <v>1</v>
      </c>
      <c r="C115" s="231"/>
      <c r="D115" s="255" t="s">
        <v>71</v>
      </c>
      <c r="E115" s="257">
        <f>AVERAGE(E108:E113)</f>
        <v>287.46527079953995</v>
      </c>
      <c r="F115" s="276">
        <f>AVERAGE(F108:F113)</f>
        <v>95.821756933179998</v>
      </c>
    </row>
    <row r="116" spans="1:10" ht="27" customHeight="1" x14ac:dyDescent="0.45">
      <c r="A116" s="124" t="s">
        <v>103</v>
      </c>
      <c r="B116" s="156">
        <f>(B115/B114)*(B113/B112)*(B111/B110)*(B109/B108)*B107</f>
        <v>22500</v>
      </c>
      <c r="C116" s="232"/>
      <c r="D116" s="256" t="s">
        <v>84</v>
      </c>
      <c r="E116" s="254">
        <f>STDEV(E108:E113)/E115</f>
        <v>1.4607915185093535E-2</v>
      </c>
      <c r="F116" s="233">
        <f>STDEV(F108:F113)/F115</f>
        <v>1.4607915185093523E-2</v>
      </c>
      <c r="I116" s="98"/>
    </row>
    <row r="117" spans="1:10" ht="27" customHeight="1" x14ac:dyDescent="0.45">
      <c r="A117" s="299" t="s">
        <v>78</v>
      </c>
      <c r="B117" s="300"/>
      <c r="C117" s="234"/>
      <c r="D117" s="195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5">
      <c r="A118" s="301"/>
      <c r="B118" s="302"/>
      <c r="C118" s="98"/>
      <c r="D118" s="258"/>
      <c r="E118" s="327" t="s">
        <v>123</v>
      </c>
      <c r="F118" s="328"/>
      <c r="G118" s="98"/>
      <c r="H118" s="98"/>
      <c r="I118" s="98"/>
    </row>
    <row r="119" spans="1:10" ht="25.5" customHeight="1" x14ac:dyDescent="0.45">
      <c r="A119" s="243"/>
      <c r="B119" s="120"/>
      <c r="C119" s="98"/>
      <c r="D119" s="256" t="s">
        <v>124</v>
      </c>
      <c r="E119" s="261">
        <f>MIN(E108:E113)</f>
        <v>282.89652841556762</v>
      </c>
      <c r="F119" s="277">
        <f>MIN(F108:F113)</f>
        <v>94.29884280518921</v>
      </c>
      <c r="G119" s="98"/>
      <c r="H119" s="98"/>
      <c r="I119" s="98"/>
    </row>
    <row r="120" spans="1:10" ht="24" customHeight="1" x14ac:dyDescent="0.45">
      <c r="A120" s="243"/>
      <c r="B120" s="120"/>
      <c r="C120" s="98"/>
      <c r="D120" s="167" t="s">
        <v>125</v>
      </c>
      <c r="E120" s="262">
        <f>MAX(E108:E113)</f>
        <v>293.86151013710128</v>
      </c>
      <c r="F120" s="278">
        <f>MAX(F108:F113)</f>
        <v>97.953836712367092</v>
      </c>
      <c r="G120" s="98"/>
      <c r="H120" s="98"/>
      <c r="I120" s="98"/>
    </row>
    <row r="121" spans="1:10" ht="27" customHeight="1" x14ac:dyDescent="0.35">
      <c r="A121" s="243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3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3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303" t="str">
        <f>B26</f>
        <v>ISONIAZID</v>
      </c>
      <c r="D124" s="303"/>
      <c r="E124" s="198" t="s">
        <v>127</v>
      </c>
      <c r="F124" s="198"/>
      <c r="G124" s="279">
        <f>F115</f>
        <v>95.821756933179998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79">
        <f>MIN(F108:F113)</f>
        <v>94.29884280518921</v>
      </c>
      <c r="E125" s="209" t="s">
        <v>130</v>
      </c>
      <c r="F125" s="279">
        <f>MAX(F108:F113)</f>
        <v>97.953836712367092</v>
      </c>
      <c r="G125" s="199"/>
      <c r="H125" s="98"/>
      <c r="I125" s="98"/>
    </row>
    <row r="126" spans="1:10" ht="19.5" customHeight="1" x14ac:dyDescent="0.35">
      <c r="A126" s="235"/>
      <c r="B126" s="235"/>
      <c r="C126" s="236"/>
      <c r="D126" s="236"/>
      <c r="E126" s="236"/>
      <c r="F126" s="236"/>
      <c r="G126" s="236"/>
      <c r="H126" s="236"/>
    </row>
    <row r="127" spans="1:10" ht="18" x14ac:dyDescent="0.35">
      <c r="B127" s="304" t="s">
        <v>26</v>
      </c>
      <c r="C127" s="304"/>
      <c r="E127" s="204" t="s">
        <v>27</v>
      </c>
      <c r="F127" s="237"/>
      <c r="G127" s="304" t="s">
        <v>28</v>
      </c>
      <c r="H127" s="304"/>
    </row>
    <row r="128" spans="1:10" ht="69.900000000000006" customHeight="1" x14ac:dyDescent="0.35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00000000000006" customHeight="1" x14ac:dyDescent="0.35">
      <c r="A129" s="238" t="s">
        <v>30</v>
      </c>
      <c r="B129" s="241"/>
      <c r="C129" s="241"/>
      <c r="E129" s="241"/>
      <c r="F129" s="98"/>
      <c r="G129" s="242"/>
      <c r="H129" s="242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6" bottom="0.72" header="0.3" footer="0.3"/>
  <pageSetup paperSize="9" scale="25" orientation="portrait" r:id="rId1"/>
  <headerFooter scaleWithDoc="0" alignWithMargins="0">
    <oddHeader>&amp;LVer 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Isoniazid</vt:lpstr>
      <vt:lpstr>Isoniazid!Print_Area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2018-07-20T11:30:08Z</cp:lastPrinted>
  <dcterms:created xsi:type="dcterms:W3CDTF">2005-07-05T10:19:27Z</dcterms:created>
  <dcterms:modified xsi:type="dcterms:W3CDTF">2018-07-20T12:05:55Z</dcterms:modified>
</cp:coreProperties>
</file>