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 activeTab="4"/>
  </bookViews>
  <sheets>
    <sheet name="SST TDF" sheetId="5" r:id="rId1"/>
    <sheet name="SST Lamivudine" sheetId="6" r:id="rId2"/>
    <sheet name="Uniformity" sheetId="2" r:id="rId3"/>
    <sheet name="TDF" sheetId="3" r:id="rId4"/>
    <sheet name="Lamivudine" sheetId="4" r:id="rId5"/>
  </sheets>
  <definedNames>
    <definedName name="_xlnm.Print_Area" localSheetId="4">Lamivudine!$A$1:$I$129</definedName>
    <definedName name="_xlnm.Print_Area" localSheetId="1">'SST Lamivudine'!$A$15:$G$61</definedName>
    <definedName name="_xlnm.Print_Area" localSheetId="0">'SST TDF'!$A$15:$G$61</definedName>
    <definedName name="_xlnm.Print_Area" localSheetId="3">TDF!$A$1:$I$129</definedName>
    <definedName name="_xlnm.Print_Area" localSheetId="2">Uniformity!$A$12:$F$54</definedName>
  </definedNames>
  <calcPr calcId="144525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42" i="6"/>
  <c r="B32" i="6"/>
  <c r="E30" i="6"/>
  <c r="D30" i="6"/>
  <c r="C30" i="6"/>
  <c r="B30" i="6"/>
  <c r="B31" i="6" s="1"/>
  <c r="B21" i="6"/>
  <c r="B53" i="5"/>
  <c r="B52" i="5"/>
  <c r="E51" i="5"/>
  <c r="D51" i="5"/>
  <c r="C51" i="5"/>
  <c r="B51" i="5"/>
  <c r="B42" i="5"/>
  <c r="B32" i="5"/>
  <c r="E30" i="5"/>
  <c r="D30" i="5"/>
  <c r="C30" i="5"/>
  <c r="B30" i="5"/>
  <c r="B31" i="5" s="1"/>
  <c r="B21" i="5"/>
  <c r="C124" i="4" l="1"/>
  <c r="B116" i="4"/>
  <c r="D100" i="4" s="1"/>
  <c r="B98" i="4"/>
  <c r="F95" i="4"/>
  <c r="D95" i="4"/>
  <c r="B87" i="4"/>
  <c r="D97" i="4" s="1"/>
  <c r="D98" i="4" s="1"/>
  <c r="B81" i="4"/>
  <c r="B83" i="4" s="1"/>
  <c r="B80" i="4"/>
  <c r="B79" i="4"/>
  <c r="C76" i="4"/>
  <c r="B68" i="4"/>
  <c r="B69" i="4" s="1"/>
  <c r="B57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D101" i="3" s="1"/>
  <c r="B98" i="3"/>
  <c r="F95" i="3"/>
  <c r="D95" i="3"/>
  <c r="B87" i="3"/>
  <c r="F97" i="3" s="1"/>
  <c r="B81" i="3"/>
  <c r="B83" i="3" s="1"/>
  <c r="B80" i="3"/>
  <c r="B79" i="3"/>
  <c r="C76" i="3"/>
  <c r="B68" i="3"/>
  <c r="B69" i="3" s="1"/>
  <c r="B57" i="3"/>
  <c r="C56" i="3"/>
  <c r="B55" i="3"/>
  <c r="B45" i="3"/>
  <c r="D48" i="3" s="1"/>
  <c r="F42" i="3"/>
  <c r="D42" i="3"/>
  <c r="B34" i="3"/>
  <c r="D44" i="3" s="1"/>
  <c r="B30" i="3"/>
  <c r="D50" i="2"/>
  <c r="D49" i="2"/>
  <c r="C49" i="2"/>
  <c r="C46" i="2"/>
  <c r="B49" i="2" s="1"/>
  <c r="C45" i="2"/>
  <c r="D43" i="2"/>
  <c r="D42" i="2"/>
  <c r="D40" i="2"/>
  <c r="D39" i="2"/>
  <c r="D38" i="2"/>
  <c r="D37" i="2"/>
  <c r="D35" i="2"/>
  <c r="D34" i="2"/>
  <c r="D32" i="2"/>
  <c r="D31" i="2"/>
  <c r="D30" i="2"/>
  <c r="D29" i="2"/>
  <c r="D27" i="2"/>
  <c r="D26" i="2"/>
  <c r="D24" i="2"/>
  <c r="C19" i="2"/>
  <c r="I92" i="3" l="1"/>
  <c r="F44" i="3"/>
  <c r="F45" i="3" s="1"/>
  <c r="G40" i="3" s="1"/>
  <c r="I92" i="4"/>
  <c r="I39" i="4"/>
  <c r="F97" i="4"/>
  <c r="F98" i="4" s="1"/>
  <c r="F99" i="4" s="1"/>
  <c r="D99" i="4"/>
  <c r="D101" i="4"/>
  <c r="G92" i="4" s="1"/>
  <c r="F45" i="4"/>
  <c r="G38" i="4" s="1"/>
  <c r="I39" i="3"/>
  <c r="D49" i="3"/>
  <c r="D45" i="3"/>
  <c r="E41" i="3" s="1"/>
  <c r="D102" i="3"/>
  <c r="G91" i="3"/>
  <c r="G94" i="3"/>
  <c r="G41" i="3"/>
  <c r="F46" i="4"/>
  <c r="G39" i="4"/>
  <c r="G41" i="4"/>
  <c r="F98" i="3"/>
  <c r="F99" i="3" s="1"/>
  <c r="D25" i="2"/>
  <c r="D33" i="2"/>
  <c r="D41" i="2"/>
  <c r="C50" i="2"/>
  <c r="D28" i="2"/>
  <c r="D36" i="2"/>
  <c r="D44" i="4"/>
  <c r="D45" i="4" s="1"/>
  <c r="E39" i="4" s="1"/>
  <c r="D49" i="4"/>
  <c r="D97" i="3"/>
  <c r="D98" i="3" s="1"/>
  <c r="D99" i="3" s="1"/>
  <c r="G91" i="4" l="1"/>
  <c r="G40" i="4"/>
  <c r="G42" i="4" s="1"/>
  <c r="G39" i="3"/>
  <c r="F46" i="3"/>
  <c r="G38" i="3"/>
  <c r="E40" i="3"/>
  <c r="E92" i="4"/>
  <c r="G94" i="4"/>
  <c r="G93" i="4"/>
  <c r="E93" i="4"/>
  <c r="D102" i="4"/>
  <c r="E94" i="4"/>
  <c r="E91" i="4"/>
  <c r="E38" i="3"/>
  <c r="D46" i="3"/>
  <c r="E39" i="3"/>
  <c r="E94" i="3"/>
  <c r="E92" i="3"/>
  <c r="E93" i="3"/>
  <c r="G92" i="3"/>
  <c r="G93" i="3"/>
  <c r="E38" i="4"/>
  <c r="D46" i="4"/>
  <c r="E40" i="4"/>
  <c r="E41" i="4"/>
  <c r="E91" i="3"/>
  <c r="G95" i="4" l="1"/>
  <c r="G42" i="3"/>
  <c r="E95" i="4"/>
  <c r="D103" i="4"/>
  <c r="E111" i="4" s="1"/>
  <c r="F111" i="4" s="1"/>
  <c r="D105" i="4"/>
  <c r="G95" i="3"/>
  <c r="D50" i="3"/>
  <c r="D51" i="3" s="1"/>
  <c r="D52" i="3"/>
  <c r="E42" i="3"/>
  <c r="E95" i="3"/>
  <c r="D103" i="3"/>
  <c r="D105" i="3"/>
  <c r="D50" i="4"/>
  <c r="E42" i="4"/>
  <c r="D52" i="4"/>
  <c r="D104" i="4" l="1"/>
  <c r="E108" i="4"/>
  <c r="F108" i="4" s="1"/>
  <c r="E112" i="4"/>
  <c r="F112" i="4" s="1"/>
  <c r="E109" i="4"/>
  <c r="F109" i="4" s="1"/>
  <c r="E113" i="4"/>
  <c r="F113" i="4" s="1"/>
  <c r="E110" i="4"/>
  <c r="F110" i="4" s="1"/>
  <c r="G70" i="3"/>
  <c r="H70" i="3" s="1"/>
  <c r="G67" i="3"/>
  <c r="H67" i="3" s="1"/>
  <c r="G65" i="3"/>
  <c r="H65" i="3" s="1"/>
  <c r="G62" i="3"/>
  <c r="H62" i="3" s="1"/>
  <c r="G60" i="3"/>
  <c r="G69" i="3"/>
  <c r="H69" i="3" s="1"/>
  <c r="G64" i="3"/>
  <c r="H64" i="3" s="1"/>
  <c r="G68" i="3"/>
  <c r="H68" i="3" s="1"/>
  <c r="G71" i="3"/>
  <c r="H71" i="3" s="1"/>
  <c r="G63" i="3"/>
  <c r="H63" i="3" s="1"/>
  <c r="G66" i="3"/>
  <c r="H66" i="3" s="1"/>
  <c r="G61" i="3"/>
  <c r="H61" i="3" s="1"/>
  <c r="E110" i="3"/>
  <c r="F110" i="3" s="1"/>
  <c r="E112" i="3"/>
  <c r="F112" i="3" s="1"/>
  <c r="E108" i="3"/>
  <c r="E113" i="3"/>
  <c r="F113" i="3" s="1"/>
  <c r="E109" i="3"/>
  <c r="F109" i="3" s="1"/>
  <c r="E111" i="3"/>
  <c r="F111" i="3" s="1"/>
  <c r="D104" i="3"/>
  <c r="D51" i="4"/>
  <c r="G62" i="4"/>
  <c r="H62" i="4" s="1"/>
  <c r="G65" i="4"/>
  <c r="H65" i="4" s="1"/>
  <c r="G61" i="4"/>
  <c r="H61" i="4" s="1"/>
  <c r="G60" i="4"/>
  <c r="G66" i="4"/>
  <c r="H66" i="4" s="1"/>
  <c r="G68" i="4"/>
  <c r="H68" i="4" s="1"/>
  <c r="G71" i="4"/>
  <c r="H71" i="4" s="1"/>
  <c r="G64" i="4"/>
  <c r="H64" i="4" s="1"/>
  <c r="G69" i="4"/>
  <c r="H69" i="4" s="1"/>
  <c r="G70" i="4"/>
  <c r="H70" i="4" s="1"/>
  <c r="G67" i="4"/>
  <c r="H67" i="4" s="1"/>
  <c r="G63" i="4"/>
  <c r="H63" i="4" s="1"/>
  <c r="E115" i="4" l="1"/>
  <c r="E116" i="4" s="1"/>
  <c r="E120" i="4"/>
  <c r="E119" i="4"/>
  <c r="E117" i="4"/>
  <c r="G72" i="3"/>
  <c r="G73" i="3" s="1"/>
  <c r="H60" i="3"/>
  <c r="H72" i="3" s="1"/>
  <c r="G74" i="3"/>
  <c r="E115" i="3"/>
  <c r="E116" i="3" s="1"/>
  <c r="F108" i="3"/>
  <c r="E119" i="3"/>
  <c r="E117" i="3"/>
  <c r="E120" i="3"/>
  <c r="F125" i="4"/>
  <c r="F117" i="4"/>
  <c r="F120" i="4"/>
  <c r="D125" i="4"/>
  <c r="F115" i="4"/>
  <c r="F119" i="4"/>
  <c r="G72" i="4"/>
  <c r="G73" i="4" s="1"/>
  <c r="H60" i="4"/>
  <c r="G74" i="4"/>
  <c r="H74" i="3" l="1"/>
  <c r="G124" i="4"/>
  <c r="F116" i="4"/>
  <c r="F119" i="3"/>
  <c r="F125" i="3"/>
  <c r="F117" i="3"/>
  <c r="D125" i="3"/>
  <c r="F115" i="3"/>
  <c r="F120" i="3"/>
  <c r="H72" i="4"/>
  <c r="H74" i="4"/>
  <c r="H73" i="3"/>
  <c r="G76" i="3"/>
  <c r="G124" i="3" l="1"/>
  <c r="F116" i="3"/>
  <c r="G76" i="4"/>
  <c r="H73" i="4"/>
</calcChain>
</file>

<file path=xl/sharedStrings.xml><?xml version="1.0" encoding="utf-8"?>
<sst xmlns="http://schemas.openxmlformats.org/spreadsheetml/2006/main" count="452" uniqueCount="138">
  <si>
    <t>HPLC System Suitability Report</t>
  </si>
  <si>
    <t>Analysis Data</t>
  </si>
  <si>
    <t>Assay</t>
  </si>
  <si>
    <t>Sample(s)</t>
  </si>
  <si>
    <t>Reference Substance:</t>
  </si>
  <si>
    <t>TENOFOVIR DISOPROXIL FUMARATE and LAMIVUDINE TABLETS 
300 mg/300 mg</t>
  </si>
  <si>
    <t>% age Purity:</t>
  </si>
  <si>
    <t>NDQB201807012</t>
  </si>
  <si>
    <t>Weight (mg):</t>
  </si>
  <si>
    <t xml:space="preserve">Tenofovir Disproxil Fumarate and 
Lamivudine </t>
  </si>
  <si>
    <t>Standard Conc (mg/mL):</t>
  </si>
  <si>
    <t>Each film coated tablet contains: tenofovir disoproxil fumarate 300 mg equivalent to tenofovir disoproxil 245 mg and lamivudine USP 300 mg.</t>
  </si>
  <si>
    <t>2018-07-04 10:24:17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</si>
  <si>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</si>
  <si>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</si>
  <si>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</si>
  <si>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</si>
  <si>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</si>
  <si>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</si>
  <si>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</si>
  <si>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</si>
  <si>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</si>
  <si>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</si>
  <si>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</si>
  <si>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</si>
  <si>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</si>
  <si>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</si>
  <si>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</si>
  <si>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</si>
  <si>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</si>
  <si>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</si>
  <si>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</si>
  <si>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</si>
  <si>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</si>
  <si>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</si>
  <si>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</si>
  <si>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</si>
  <si>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</si>
  <si>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</si>
  <si>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</si>
  <si>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</si>
  <si>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</si>
  <si>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</si>
  <si>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</si>
  <si>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</si>
  <si>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</si>
  <si>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</si>
  <si>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</si>
  <si>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</si>
  <si>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</si>
  <si>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</si>
  <si>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</si>
  <si>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</si>
  <si>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</si>
  <si>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</si>
  <si>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</si>
  <si>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</si>
  <si>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</si>
  <si>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</si>
  <si>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</si>
  <si>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</si>
  <si>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</si>
  <si>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</si>
  <si>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</si>
  <si>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</si>
  <si>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</si>
  <si>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</si>
  <si>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</si>
  <si>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</si>
  <si>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</si>
  <si>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</si>
  <si>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</si>
  <si>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</si>
  <si>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</si>
  <si>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</si>
  <si>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</si>
  <si>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</si>
  <si>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</si>
  <si>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</si>
  <si>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</si>
  <si>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</si>
  <si>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</si>
  <si>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</si>
  <si>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</si>
  <si>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</si>
  <si>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</si>
  <si>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</si>
  <si>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</si>
  <si>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</si>
  <si>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</si>
  <si>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</si>
  <si>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</si>
  <si>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</si>
  <si>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</si>
  <si>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</si>
  <si>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</si>
  <si>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</si>
  <si>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</si>
  <si>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</si>
  <si>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</si>
  <si>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</si>
  <si>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</si>
  <si>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</si>
  <si>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</si>
  <si>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</si>
  <si>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</si>
  <si>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</si>
  <si>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</si>
  <si>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</si>
  <si>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</si>
  <si>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</si>
  <si>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</si>
  <si>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</si>
  <si>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</si>
  <si>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</si>
  <si>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</si>
  <si>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</si>
  <si>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</si>
  <si>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</si>
  <si>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</si>
  <si>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</si>
  <si>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</si>
  <si>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</si>
  <si>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</si>
  <si>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</si>
  <si>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</si>
  <si>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</si>
  <si>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</si>
  <si>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</si>
  <si>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</si>
  <si>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</si>
  <si>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Tenofovir Disproxil Fumarate </t>
  </si>
  <si>
    <t>T11-12</t>
  </si>
  <si>
    <t xml:space="preserve">Lamivudine </t>
  </si>
  <si>
    <t>L3-12</t>
  </si>
  <si>
    <t xml:space="preserve">                        Tenofovir Disoproxil Fumarate </t>
  </si>
  <si>
    <t>RUTTO  KENNEDY</t>
  </si>
  <si>
    <r>
      <t xml:space="preserve">The number of Theoretical Plates (USP) for Lamivudine,Tdf and Efavirenz peaks should be </t>
    </r>
    <r>
      <rPr>
        <b/>
        <sz val="12"/>
        <color rgb="FF000000"/>
        <rFont val="Book Antiqua"/>
        <family val="1"/>
      </rPr>
      <t>NLT 2000,10000 and 10000</t>
    </r>
    <r>
      <rPr>
        <sz val="12"/>
        <color rgb="FF000000"/>
        <rFont val="Book Antiqua"/>
      </rPr>
      <t xml:space="preserve"> respectively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</si>
</sst>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0.0000\ &quot;mg&quot;"/>
    <numFmt numFmtId="170" formatCode="0.000"/>
    <numFmt numFmtId="171" formatCode="0.0\ &quot;mg&quot;"/>
    <numFmt numFmtId="172" formatCode="0.00\ &quot;%&quot;"/>
    <numFmt numFmtId="173" formatCode="0.0\ &quot;%&quot;"/>
    <numFmt numFmtId="174" formatCode="0\ &quot;%&quot;"/>
  </numFmts>
  <fonts count="30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52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0" fontId="11" fillId="2" borderId="26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0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2" fontId="11" fillId="2" borderId="13" xfId="0" applyNumberFormat="1" applyFont="1" applyFill="1" applyBorder="1" applyAlignment="1">
      <alignment horizontal="center" vertical="center"/>
    </xf>
    <xf numFmtId="172" fontId="11" fillId="2" borderId="14" xfId="0" applyNumberFormat="1" applyFont="1" applyFill="1" applyBorder="1" applyAlignment="1">
      <alignment horizontal="center" vertical="center"/>
    </xf>
    <xf numFmtId="172" fontId="11" fillId="2" borderId="15" xfId="0" applyNumberFormat="1" applyFont="1" applyFill="1" applyBorder="1" applyAlignment="1">
      <alignment horizontal="center" vertical="center"/>
    </xf>
    <xf numFmtId="172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2" fontId="11" fillId="2" borderId="22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2" fontId="11" fillId="2" borderId="44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3" fontId="13" fillId="7" borderId="52" xfId="0" applyNumberFormat="1" applyFont="1" applyFill="1" applyBorder="1" applyAlignment="1">
      <alignment horizontal="center"/>
    </xf>
    <xf numFmtId="173" fontId="13" fillId="6" borderId="54" xfId="0" applyNumberFormat="1" applyFont="1" applyFill="1" applyBorder="1" applyAlignment="1">
      <alignment horizontal="center"/>
    </xf>
    <xf numFmtId="173" fontId="13" fillId="7" borderId="46" xfId="0" applyNumberFormat="1" applyFont="1" applyFill="1" applyBorder="1" applyAlignment="1">
      <alignment horizontal="center"/>
    </xf>
    <xf numFmtId="174" fontId="20" fillId="2" borderId="0" xfId="0" applyNumberFormat="1" applyFont="1" applyFill="1" applyAlignment="1">
      <alignment horizontal="center"/>
    </xf>
    <xf numFmtId="173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0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2" fontId="11" fillId="2" borderId="13" xfId="0" applyNumberFormat="1" applyFont="1" applyFill="1" applyBorder="1" applyAlignment="1">
      <alignment horizontal="center" vertical="center"/>
    </xf>
    <xf numFmtId="172" fontId="11" fillId="2" borderId="14" xfId="0" applyNumberFormat="1" applyFont="1" applyFill="1" applyBorder="1" applyAlignment="1">
      <alignment horizontal="center" vertical="center"/>
    </xf>
    <xf numFmtId="172" fontId="11" fillId="2" borderId="15" xfId="0" applyNumberFormat="1" applyFont="1" applyFill="1" applyBorder="1" applyAlignment="1">
      <alignment horizontal="center" vertical="center"/>
    </xf>
    <xf numFmtId="172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2" fontId="11" fillId="2" borderId="22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2" fontId="11" fillId="2" borderId="44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3" fontId="13" fillId="7" borderId="52" xfId="0" applyNumberFormat="1" applyFont="1" applyFill="1" applyBorder="1" applyAlignment="1">
      <alignment horizontal="center"/>
    </xf>
    <xf numFmtId="173" fontId="13" fillId="6" borderId="54" xfId="0" applyNumberFormat="1" applyFont="1" applyFill="1" applyBorder="1" applyAlignment="1">
      <alignment horizontal="center"/>
    </xf>
    <xf numFmtId="173" fontId="13" fillId="7" borderId="46" xfId="0" applyNumberFormat="1" applyFont="1" applyFill="1" applyBorder="1" applyAlignment="1">
      <alignment horizontal="center"/>
    </xf>
    <xf numFmtId="174" fontId="20" fillId="2" borderId="0" xfId="0" applyNumberFormat="1" applyFont="1" applyFill="1" applyAlignment="1">
      <alignment horizontal="center"/>
    </xf>
    <xf numFmtId="173" fontId="13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7" fillId="2" borderId="0" xfId="1" applyFont="1" applyFill="1" applyAlignment="1" applyProtection="1">
      <alignment horizontal="left"/>
      <protection locked="0"/>
    </xf>
    <xf numFmtId="168" fontId="28" fillId="3" borderId="0" xfId="0" applyNumberFormat="1" applyFont="1" applyFill="1" applyAlignment="1" applyProtection="1">
      <alignment horizontal="center"/>
      <protection locked="0"/>
    </xf>
    <xf numFmtId="0" fontId="29" fillId="3" borderId="29" xfId="0" applyFont="1" applyFill="1" applyBorder="1" applyAlignment="1" applyProtection="1">
      <alignment horizontal="center"/>
      <protection locked="0"/>
    </xf>
    <xf numFmtId="0" fontId="29" fillId="3" borderId="23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C21" sqref="C21"/>
    </sheetView>
  </sheetViews>
  <sheetFormatPr defaultRowHeight="13.5" x14ac:dyDescent="0.25"/>
  <cols>
    <col min="1" max="1" width="27.5703125" style="475" customWidth="1"/>
    <col min="2" max="2" width="20.42578125" style="475" customWidth="1"/>
    <col min="3" max="3" width="31.85546875" style="475" customWidth="1"/>
    <col min="4" max="4" width="25.85546875" style="475" customWidth="1"/>
    <col min="5" max="5" width="25.7109375" style="475" customWidth="1"/>
    <col min="6" max="6" width="23.140625" style="475" customWidth="1"/>
    <col min="7" max="7" width="28.42578125" style="475" customWidth="1"/>
    <col min="8" max="8" width="21.5703125" style="475" customWidth="1"/>
    <col min="9" max="9" width="9.140625" style="475" customWidth="1"/>
    <col min="10" max="16384" width="9.140625" style="512"/>
  </cols>
  <sheetData>
    <row r="14" spans="1:6" ht="15" customHeight="1" x14ac:dyDescent="0.3">
      <c r="A14" s="474"/>
      <c r="C14" s="476"/>
      <c r="F14" s="476"/>
    </row>
    <row r="15" spans="1:6" ht="18.75" customHeight="1" x14ac:dyDescent="0.3">
      <c r="A15" s="477" t="s">
        <v>0</v>
      </c>
      <c r="B15" s="477"/>
      <c r="C15" s="477"/>
      <c r="D15" s="477"/>
      <c r="E15" s="477"/>
    </row>
    <row r="16" spans="1:6" ht="16.5" customHeight="1" x14ac:dyDescent="0.3">
      <c r="A16" s="478" t="s">
        <v>1</v>
      </c>
      <c r="B16" s="479" t="s">
        <v>2</v>
      </c>
    </row>
    <row r="17" spans="1:5" ht="16.5" customHeight="1" x14ac:dyDescent="0.3">
      <c r="A17" s="480" t="s">
        <v>3</v>
      </c>
      <c r="B17" s="480" t="s">
        <v>5</v>
      </c>
      <c r="D17" s="481"/>
      <c r="E17" s="482"/>
    </row>
    <row r="18" spans="1:5" ht="16.5" customHeight="1" x14ac:dyDescent="0.3">
      <c r="A18" s="483" t="s">
        <v>4</v>
      </c>
      <c r="B18" s="484" t="s">
        <v>135</v>
      </c>
      <c r="C18" s="482"/>
      <c r="D18" s="482"/>
      <c r="E18" s="482"/>
    </row>
    <row r="19" spans="1:5" ht="16.5" customHeight="1" x14ac:dyDescent="0.3">
      <c r="A19" s="483" t="s">
        <v>6</v>
      </c>
      <c r="B19" s="484">
        <v>99.1</v>
      </c>
      <c r="C19" s="482"/>
      <c r="D19" s="482"/>
      <c r="E19" s="482"/>
    </row>
    <row r="20" spans="1:5" ht="16.5" customHeight="1" x14ac:dyDescent="0.3">
      <c r="A20" s="480" t="s">
        <v>8</v>
      </c>
      <c r="B20" s="484">
        <v>14.63</v>
      </c>
      <c r="C20" s="482"/>
      <c r="D20" s="482"/>
      <c r="E20" s="482"/>
    </row>
    <row r="21" spans="1:5" ht="16.5" customHeight="1" x14ac:dyDescent="0.3">
      <c r="A21" s="480" t="s">
        <v>10</v>
      </c>
      <c r="B21" s="485">
        <f>14.63/50*10/25</f>
        <v>0.11704000000000001</v>
      </c>
      <c r="C21" s="482"/>
      <c r="D21" s="482"/>
      <c r="E21" s="482"/>
    </row>
    <row r="22" spans="1:5" ht="15.75" customHeight="1" x14ac:dyDescent="0.25">
      <c r="A22" s="482"/>
      <c r="B22" s="482"/>
      <c r="C22" s="482"/>
      <c r="D22" s="482"/>
      <c r="E22" s="482"/>
    </row>
    <row r="23" spans="1:5" ht="16.5" customHeight="1" x14ac:dyDescent="0.3">
      <c r="A23" s="486" t="s">
        <v>13</v>
      </c>
      <c r="B23" s="487" t="s">
        <v>14</v>
      </c>
      <c r="C23" s="486" t="s">
        <v>15</v>
      </c>
      <c r="D23" s="486" t="s">
        <v>16</v>
      </c>
      <c r="E23" s="486" t="s">
        <v>17</v>
      </c>
    </row>
    <row r="24" spans="1:5" ht="16.5" customHeight="1" x14ac:dyDescent="0.3">
      <c r="A24" s="488">
        <v>1</v>
      </c>
      <c r="B24" s="489">
        <v>1400917</v>
      </c>
      <c r="C24" s="489">
        <v>33832.800000000003</v>
      </c>
      <c r="D24" s="490">
        <v>1</v>
      </c>
      <c r="E24" s="491">
        <v>14.3</v>
      </c>
    </row>
    <row r="25" spans="1:5" ht="16.5" customHeight="1" x14ac:dyDescent="0.3">
      <c r="A25" s="488">
        <v>2</v>
      </c>
      <c r="B25" s="489">
        <v>1410518</v>
      </c>
      <c r="C25" s="489">
        <v>33740.699999999997</v>
      </c>
      <c r="D25" s="490">
        <v>1.1000000000000001</v>
      </c>
      <c r="E25" s="490">
        <v>14.3</v>
      </c>
    </row>
    <row r="26" spans="1:5" ht="16.5" customHeight="1" x14ac:dyDescent="0.3">
      <c r="A26" s="488">
        <v>3</v>
      </c>
      <c r="B26" s="489">
        <v>1410707</v>
      </c>
      <c r="C26" s="489">
        <v>33842.9</v>
      </c>
      <c r="D26" s="490">
        <v>1</v>
      </c>
      <c r="E26" s="490">
        <v>14.3</v>
      </c>
    </row>
    <row r="27" spans="1:5" ht="16.5" customHeight="1" x14ac:dyDescent="0.3">
      <c r="A27" s="488">
        <v>4</v>
      </c>
      <c r="B27" s="489">
        <v>1415147</v>
      </c>
      <c r="C27" s="489">
        <v>33835</v>
      </c>
      <c r="D27" s="490">
        <v>1.1000000000000001</v>
      </c>
      <c r="E27" s="490">
        <v>14.3</v>
      </c>
    </row>
    <row r="28" spans="1:5" ht="16.5" customHeight="1" x14ac:dyDescent="0.3">
      <c r="A28" s="488">
        <v>5</v>
      </c>
      <c r="B28" s="489">
        <v>1406540</v>
      </c>
      <c r="C28" s="489">
        <v>33664.6</v>
      </c>
      <c r="D28" s="490">
        <v>1.1000000000000001</v>
      </c>
      <c r="E28" s="490">
        <v>14.3</v>
      </c>
    </row>
    <row r="29" spans="1:5" ht="16.5" customHeight="1" x14ac:dyDescent="0.3">
      <c r="A29" s="488">
        <v>6</v>
      </c>
      <c r="B29" s="492">
        <v>1414013</v>
      </c>
      <c r="C29" s="492">
        <v>34423.4</v>
      </c>
      <c r="D29" s="493">
        <v>1</v>
      </c>
      <c r="E29" s="493">
        <v>14.3</v>
      </c>
    </row>
    <row r="30" spans="1:5" ht="16.5" customHeight="1" x14ac:dyDescent="0.3">
      <c r="A30" s="494" t="s">
        <v>18</v>
      </c>
      <c r="B30" s="495">
        <f>AVERAGE(B24:B29)</f>
        <v>1409640.3333333333</v>
      </c>
      <c r="C30" s="496">
        <f>AVERAGE(C24:C29)</f>
        <v>33889.9</v>
      </c>
      <c r="D30" s="497">
        <f>AVERAGE(D24:D29)</f>
        <v>1.05</v>
      </c>
      <c r="E30" s="497">
        <f>AVERAGE(E24:E29)</f>
        <v>14.299999999999999</v>
      </c>
    </row>
    <row r="31" spans="1:5" ht="16.5" customHeight="1" x14ac:dyDescent="0.3">
      <c r="A31" s="498" t="s">
        <v>19</v>
      </c>
      <c r="B31" s="499">
        <f>(STDEV(B24:B29)/B30)</f>
        <v>3.7141760620349107E-3</v>
      </c>
      <c r="C31" s="500"/>
      <c r="D31" s="500"/>
      <c r="E31" s="501"/>
    </row>
    <row r="32" spans="1:5" s="475" customFormat="1" ht="16.5" customHeight="1" x14ac:dyDescent="0.3">
      <c r="A32" s="502" t="s">
        <v>20</v>
      </c>
      <c r="B32" s="503">
        <f>COUNT(B24:B29)</f>
        <v>6</v>
      </c>
      <c r="C32" s="504"/>
      <c r="D32" s="505"/>
      <c r="E32" s="506"/>
    </row>
    <row r="33" spans="1:5" s="475" customFormat="1" ht="15.75" customHeight="1" x14ac:dyDescent="0.25">
      <c r="A33" s="482"/>
      <c r="B33" s="482"/>
      <c r="C33" s="482"/>
      <c r="D33" s="482"/>
      <c r="E33" s="482"/>
    </row>
    <row r="34" spans="1:5" s="475" customFormat="1" ht="16.5" customHeight="1" x14ac:dyDescent="0.3">
      <c r="A34" s="483" t="s">
        <v>21</v>
      </c>
      <c r="B34" s="507" t="s">
        <v>22</v>
      </c>
      <c r="C34" s="508"/>
      <c r="D34" s="508"/>
      <c r="E34" s="508"/>
    </row>
    <row r="35" spans="1:5" ht="16.5" customHeight="1" x14ac:dyDescent="0.3">
      <c r="A35" s="483"/>
      <c r="B35" s="520" t="s">
        <v>137</v>
      </c>
      <c r="C35" s="508"/>
      <c r="D35" s="508"/>
      <c r="E35" s="508"/>
    </row>
    <row r="36" spans="1:5" ht="16.5" customHeight="1" x14ac:dyDescent="0.3">
      <c r="A36" s="483"/>
      <c r="B36" s="507" t="s">
        <v>24</v>
      </c>
      <c r="C36" s="508"/>
      <c r="D36" s="508"/>
      <c r="E36" s="508"/>
    </row>
    <row r="37" spans="1:5" ht="15.75" customHeight="1" x14ac:dyDescent="0.25">
      <c r="A37" s="482"/>
      <c r="B37" s="482"/>
      <c r="C37" s="482"/>
      <c r="D37" s="482"/>
      <c r="E37" s="482"/>
    </row>
    <row r="38" spans="1:5" ht="16.5" customHeight="1" x14ac:dyDescent="0.3">
      <c r="A38" s="478" t="s">
        <v>1</v>
      </c>
      <c r="B38" s="479" t="s">
        <v>25</v>
      </c>
    </row>
    <row r="39" spans="1:5" ht="16.5" customHeight="1" x14ac:dyDescent="0.3">
      <c r="A39" s="483" t="s">
        <v>4</v>
      </c>
      <c r="B39" s="484" t="s">
        <v>135</v>
      </c>
      <c r="C39" s="482"/>
      <c r="D39" s="482"/>
      <c r="E39" s="482"/>
    </row>
    <row r="40" spans="1:5" ht="16.5" customHeight="1" x14ac:dyDescent="0.3">
      <c r="A40" s="483" t="s">
        <v>6</v>
      </c>
      <c r="B40" s="484">
        <v>99.1</v>
      </c>
      <c r="C40" s="482"/>
      <c r="D40" s="482"/>
      <c r="E40" s="482"/>
    </row>
    <row r="41" spans="1:5" ht="16.5" customHeight="1" x14ac:dyDescent="0.3">
      <c r="A41" s="480" t="s">
        <v>8</v>
      </c>
      <c r="B41" s="484">
        <v>14.49</v>
      </c>
      <c r="C41" s="482"/>
      <c r="D41" s="482"/>
      <c r="E41" s="482"/>
    </row>
    <row r="42" spans="1:5" ht="16.5" customHeight="1" x14ac:dyDescent="0.3">
      <c r="A42" s="480" t="s">
        <v>10</v>
      </c>
      <c r="B42" s="485">
        <f>14.49/50</f>
        <v>0.2898</v>
      </c>
      <c r="C42" s="482"/>
      <c r="D42" s="482"/>
      <c r="E42" s="482"/>
    </row>
    <row r="43" spans="1:5" ht="15.75" customHeight="1" x14ac:dyDescent="0.25">
      <c r="A43" s="482"/>
      <c r="B43" s="482"/>
      <c r="C43" s="482"/>
      <c r="D43" s="482"/>
      <c r="E43" s="482"/>
    </row>
    <row r="44" spans="1:5" ht="16.5" customHeight="1" x14ac:dyDescent="0.3">
      <c r="A44" s="486" t="s">
        <v>13</v>
      </c>
      <c r="B44" s="487" t="s">
        <v>14</v>
      </c>
      <c r="C44" s="486" t="s">
        <v>15</v>
      </c>
      <c r="D44" s="486" t="s">
        <v>16</v>
      </c>
      <c r="E44" s="486" t="s">
        <v>17</v>
      </c>
    </row>
    <row r="45" spans="1:5" ht="16.5" customHeight="1" x14ac:dyDescent="0.3">
      <c r="A45" s="488">
        <v>1</v>
      </c>
      <c r="B45" s="489">
        <v>3097312</v>
      </c>
      <c r="C45" s="489">
        <v>100042</v>
      </c>
      <c r="D45" s="490">
        <v>1.1200000000000001</v>
      </c>
      <c r="E45" s="491">
        <v>8.67</v>
      </c>
    </row>
    <row r="46" spans="1:5" ht="16.5" customHeight="1" x14ac:dyDescent="0.3">
      <c r="A46" s="488">
        <v>2</v>
      </c>
      <c r="B46" s="489">
        <v>3102355</v>
      </c>
      <c r="C46" s="489">
        <v>100384</v>
      </c>
      <c r="D46" s="490">
        <v>1.04</v>
      </c>
      <c r="E46" s="490">
        <v>8.67</v>
      </c>
    </row>
    <row r="47" spans="1:5" ht="16.5" customHeight="1" x14ac:dyDescent="0.3">
      <c r="A47" s="488">
        <v>3</v>
      </c>
      <c r="B47" s="489">
        <v>3092226</v>
      </c>
      <c r="C47" s="489">
        <v>101262</v>
      </c>
      <c r="D47" s="490">
        <v>1.06</v>
      </c>
      <c r="E47" s="490">
        <v>8.67</v>
      </c>
    </row>
    <row r="48" spans="1:5" ht="16.5" customHeight="1" x14ac:dyDescent="0.3">
      <c r="A48" s="488">
        <v>4</v>
      </c>
      <c r="B48" s="489">
        <v>3094099</v>
      </c>
      <c r="C48" s="489">
        <v>100496</v>
      </c>
      <c r="D48" s="490">
        <v>1.03</v>
      </c>
      <c r="E48" s="490">
        <v>8.67</v>
      </c>
    </row>
    <row r="49" spans="1:7" ht="16.5" customHeight="1" x14ac:dyDescent="0.3">
      <c r="A49" s="488">
        <v>5</v>
      </c>
      <c r="B49" s="489">
        <v>3097764</v>
      </c>
      <c r="C49" s="489">
        <v>100758</v>
      </c>
      <c r="D49" s="490">
        <v>1.1299999999999999</v>
      </c>
      <c r="E49" s="490">
        <v>8.67</v>
      </c>
    </row>
    <row r="50" spans="1:7" ht="16.5" customHeight="1" x14ac:dyDescent="0.3">
      <c r="A50" s="488">
        <v>6</v>
      </c>
      <c r="B50" s="492">
        <v>3092438</v>
      </c>
      <c r="C50" s="492">
        <v>101253</v>
      </c>
      <c r="D50" s="493">
        <v>1.04</v>
      </c>
      <c r="E50" s="493">
        <v>8.67</v>
      </c>
    </row>
    <row r="51" spans="1:7" ht="16.5" customHeight="1" x14ac:dyDescent="0.3">
      <c r="A51" s="494" t="s">
        <v>18</v>
      </c>
      <c r="B51" s="495">
        <f>AVERAGE(B45:B50)</f>
        <v>3096032.3333333335</v>
      </c>
      <c r="C51" s="496">
        <f>AVERAGE(C45:C50)</f>
        <v>100699.16666666667</v>
      </c>
      <c r="D51" s="497">
        <f>AVERAGE(D45:D50)</f>
        <v>1.07</v>
      </c>
      <c r="E51" s="497">
        <f>AVERAGE(E45:E50)</f>
        <v>8.67</v>
      </c>
    </row>
    <row r="52" spans="1:7" ht="16.5" customHeight="1" x14ac:dyDescent="0.3">
      <c r="A52" s="498" t="s">
        <v>19</v>
      </c>
      <c r="B52" s="499">
        <f>(STDEV(B45:B50)/B51)</f>
        <v>1.2572520884846893E-3</v>
      </c>
      <c r="C52" s="500"/>
      <c r="D52" s="500"/>
      <c r="E52" s="501"/>
    </row>
    <row r="53" spans="1:7" s="475" customFormat="1" ht="16.5" customHeight="1" x14ac:dyDescent="0.3">
      <c r="A53" s="502" t="s">
        <v>20</v>
      </c>
      <c r="B53" s="503">
        <f>COUNT(B45:B50)</f>
        <v>6</v>
      </c>
      <c r="C53" s="504"/>
      <c r="D53" s="505"/>
      <c r="E53" s="506"/>
    </row>
    <row r="54" spans="1:7" s="475" customFormat="1" ht="15.75" customHeight="1" x14ac:dyDescent="0.25">
      <c r="A54" s="482"/>
      <c r="B54" s="482"/>
      <c r="C54" s="482"/>
      <c r="D54" s="482"/>
      <c r="E54" s="482"/>
    </row>
    <row r="55" spans="1:7" s="475" customFormat="1" ht="16.5" customHeight="1" x14ac:dyDescent="0.3">
      <c r="A55" s="483" t="s">
        <v>21</v>
      </c>
      <c r="B55" s="507" t="s">
        <v>22</v>
      </c>
      <c r="C55" s="508"/>
      <c r="D55" s="508"/>
      <c r="E55" s="508"/>
    </row>
    <row r="56" spans="1:7" ht="16.5" customHeight="1" x14ac:dyDescent="0.3">
      <c r="A56" s="483"/>
      <c r="B56" s="507" t="s">
        <v>23</v>
      </c>
      <c r="C56" s="508"/>
      <c r="D56" s="508"/>
      <c r="E56" s="508"/>
    </row>
    <row r="57" spans="1:7" ht="16.5" customHeight="1" x14ac:dyDescent="0.3">
      <c r="A57" s="483"/>
      <c r="B57" s="507" t="s">
        <v>24</v>
      </c>
      <c r="C57" s="508"/>
      <c r="D57" s="508"/>
      <c r="E57" s="508"/>
    </row>
    <row r="58" spans="1:7" ht="14.25" customHeight="1" thickBot="1" x14ac:dyDescent="0.3">
      <c r="A58" s="509"/>
      <c r="B58" s="510"/>
      <c r="D58" s="511"/>
      <c r="F58" s="512"/>
      <c r="G58" s="512"/>
    </row>
    <row r="59" spans="1:7" ht="15" customHeight="1" x14ac:dyDescent="0.3">
      <c r="B59" s="513" t="s">
        <v>26</v>
      </c>
      <c r="C59" s="513"/>
      <c r="E59" s="514" t="s">
        <v>27</v>
      </c>
      <c r="F59" s="515"/>
      <c r="G59" s="514" t="s">
        <v>28</v>
      </c>
    </row>
    <row r="60" spans="1:7" ht="15" customHeight="1" x14ac:dyDescent="0.3">
      <c r="A60" s="516" t="s">
        <v>29</v>
      </c>
      <c r="B60" s="517" t="s">
        <v>136</v>
      </c>
      <c r="C60" s="517"/>
      <c r="E60" s="517"/>
      <c r="G60" s="517"/>
    </row>
    <row r="61" spans="1:7" ht="15" customHeight="1" x14ac:dyDescent="0.3">
      <c r="A61" s="516" t="s">
        <v>30</v>
      </c>
      <c r="B61" s="518"/>
      <c r="C61" s="518"/>
      <c r="E61" s="518"/>
      <c r="G61" s="51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B27" sqref="B27"/>
    </sheetView>
  </sheetViews>
  <sheetFormatPr defaultRowHeight="13.5" x14ac:dyDescent="0.25"/>
  <cols>
    <col min="1" max="1" width="27.5703125" style="475" customWidth="1"/>
    <col min="2" max="2" width="20.42578125" style="475" customWidth="1"/>
    <col min="3" max="3" width="31.85546875" style="475" customWidth="1"/>
    <col min="4" max="4" width="25.85546875" style="475" customWidth="1"/>
    <col min="5" max="5" width="25.7109375" style="475" customWidth="1"/>
    <col min="6" max="6" width="23.140625" style="475" customWidth="1"/>
    <col min="7" max="7" width="28.42578125" style="475" customWidth="1"/>
    <col min="8" max="8" width="21.5703125" style="475" customWidth="1"/>
    <col min="9" max="9" width="9.140625" style="475" customWidth="1"/>
    <col min="10" max="16384" width="9.140625" style="512"/>
  </cols>
  <sheetData>
    <row r="14" spans="1:6" ht="15" customHeight="1" x14ac:dyDescent="0.3">
      <c r="A14" s="474"/>
      <c r="C14" s="476"/>
      <c r="F14" s="476"/>
    </row>
    <row r="15" spans="1:6" ht="18.75" customHeight="1" x14ac:dyDescent="0.3">
      <c r="A15" s="477" t="s">
        <v>0</v>
      </c>
      <c r="B15" s="477"/>
      <c r="C15" s="477"/>
      <c r="D15" s="477"/>
      <c r="E15" s="477"/>
    </row>
    <row r="16" spans="1:6" ht="16.5" customHeight="1" x14ac:dyDescent="0.3">
      <c r="A16" s="478" t="s">
        <v>1</v>
      </c>
      <c r="B16" s="479" t="s">
        <v>2</v>
      </c>
    </row>
    <row r="17" spans="1:5" ht="16.5" customHeight="1" x14ac:dyDescent="0.3">
      <c r="A17" s="480" t="s">
        <v>3</v>
      </c>
      <c r="B17" s="480" t="s">
        <v>5</v>
      </c>
      <c r="D17" s="481"/>
      <c r="E17" s="482"/>
    </row>
    <row r="18" spans="1:5" ht="16.5" customHeight="1" x14ac:dyDescent="0.3">
      <c r="A18" s="483" t="s">
        <v>4</v>
      </c>
      <c r="B18" s="480" t="s">
        <v>133</v>
      </c>
      <c r="C18" s="482"/>
      <c r="D18" s="482"/>
      <c r="E18" s="482"/>
    </row>
    <row r="19" spans="1:5" ht="16.5" customHeight="1" x14ac:dyDescent="0.3">
      <c r="A19" s="483" t="s">
        <v>6</v>
      </c>
      <c r="B19" s="484">
        <v>98.9</v>
      </c>
      <c r="C19" s="482"/>
      <c r="D19" s="482"/>
      <c r="E19" s="482"/>
    </row>
    <row r="20" spans="1:5" ht="16.5" customHeight="1" x14ac:dyDescent="0.3">
      <c r="A20" s="480" t="s">
        <v>8</v>
      </c>
      <c r="B20" s="484">
        <v>16.3</v>
      </c>
      <c r="C20" s="482"/>
      <c r="D20" s="482"/>
      <c r="E20" s="482"/>
    </row>
    <row r="21" spans="1:5" ht="16.5" customHeight="1" x14ac:dyDescent="0.3">
      <c r="A21" s="480" t="s">
        <v>10</v>
      </c>
      <c r="B21" s="485">
        <f>16.3/50*10/25</f>
        <v>0.13040000000000002</v>
      </c>
      <c r="C21" s="482"/>
      <c r="D21" s="482"/>
      <c r="E21" s="482"/>
    </row>
    <row r="22" spans="1:5" ht="15.75" customHeight="1" x14ac:dyDescent="0.25">
      <c r="A22" s="482"/>
      <c r="B22" s="482"/>
      <c r="C22" s="482"/>
      <c r="D22" s="482"/>
      <c r="E22" s="482"/>
    </row>
    <row r="23" spans="1:5" ht="16.5" customHeight="1" x14ac:dyDescent="0.3">
      <c r="A23" s="486" t="s">
        <v>13</v>
      </c>
      <c r="B23" s="487" t="s">
        <v>14</v>
      </c>
      <c r="C23" s="486" t="s">
        <v>15</v>
      </c>
      <c r="D23" s="486" t="s">
        <v>16</v>
      </c>
      <c r="E23" s="486" t="s">
        <v>17</v>
      </c>
    </row>
    <row r="24" spans="1:5" ht="16.5" customHeight="1" x14ac:dyDescent="0.3">
      <c r="A24" s="488">
        <v>1</v>
      </c>
      <c r="B24" s="489">
        <v>3024649</v>
      </c>
      <c r="C24" s="489">
        <v>5874.5</v>
      </c>
      <c r="D24" s="490">
        <v>1</v>
      </c>
      <c r="E24" s="491">
        <v>5.2</v>
      </c>
    </row>
    <row r="25" spans="1:5" ht="16.5" customHeight="1" x14ac:dyDescent="0.3">
      <c r="A25" s="488">
        <v>2</v>
      </c>
      <c r="B25" s="489">
        <v>3033480</v>
      </c>
      <c r="C25" s="489">
        <v>5775.2</v>
      </c>
      <c r="D25" s="490">
        <v>1</v>
      </c>
      <c r="E25" s="490">
        <v>5.2</v>
      </c>
    </row>
    <row r="26" spans="1:5" ht="16.5" customHeight="1" x14ac:dyDescent="0.3">
      <c r="A26" s="488">
        <v>3</v>
      </c>
      <c r="B26" s="489">
        <v>3040436</v>
      </c>
      <c r="C26" s="489">
        <v>5828.3</v>
      </c>
      <c r="D26" s="490">
        <v>0.9</v>
      </c>
      <c r="E26" s="490">
        <v>5.2</v>
      </c>
    </row>
    <row r="27" spans="1:5" ht="16.5" customHeight="1" x14ac:dyDescent="0.3">
      <c r="A27" s="488">
        <v>4</v>
      </c>
      <c r="B27" s="489">
        <v>3044989</v>
      </c>
      <c r="C27" s="489">
        <v>5792.5</v>
      </c>
      <c r="D27" s="490">
        <v>1</v>
      </c>
      <c r="E27" s="490">
        <v>5.2</v>
      </c>
    </row>
    <row r="28" spans="1:5" ht="16.5" customHeight="1" x14ac:dyDescent="0.3">
      <c r="A28" s="488">
        <v>5</v>
      </c>
      <c r="B28" s="489">
        <v>3037262</v>
      </c>
      <c r="C28" s="489">
        <v>5818.4</v>
      </c>
      <c r="D28" s="490">
        <v>0.9</v>
      </c>
      <c r="E28" s="490">
        <v>5.2</v>
      </c>
    </row>
    <row r="29" spans="1:5" ht="16.5" customHeight="1" x14ac:dyDescent="0.3">
      <c r="A29" s="488">
        <v>6</v>
      </c>
      <c r="B29" s="492">
        <v>3045730</v>
      </c>
      <c r="C29" s="492">
        <v>5768.1</v>
      </c>
      <c r="D29" s="493">
        <v>0.9</v>
      </c>
      <c r="E29" s="493">
        <v>5.2</v>
      </c>
    </row>
    <row r="30" spans="1:5" ht="16.5" customHeight="1" x14ac:dyDescent="0.3">
      <c r="A30" s="494" t="s">
        <v>18</v>
      </c>
      <c r="B30" s="495">
        <f>AVERAGE(B24:B29)</f>
        <v>3037757.6666666665</v>
      </c>
      <c r="C30" s="496">
        <f>AVERAGE(C24:C29)</f>
        <v>5809.5</v>
      </c>
      <c r="D30" s="497">
        <f>AVERAGE(D24:D29)</f>
        <v>0.95000000000000007</v>
      </c>
      <c r="E30" s="497">
        <f>AVERAGE(E24:E29)</f>
        <v>5.2</v>
      </c>
    </row>
    <row r="31" spans="1:5" ht="16.5" customHeight="1" x14ac:dyDescent="0.3">
      <c r="A31" s="498" t="s">
        <v>19</v>
      </c>
      <c r="B31" s="499">
        <f>(STDEV(B24:B29)/B30)</f>
        <v>2.606242599382531E-3</v>
      </c>
      <c r="C31" s="500"/>
      <c r="D31" s="500"/>
      <c r="E31" s="501"/>
    </row>
    <row r="32" spans="1:5" s="475" customFormat="1" ht="16.5" customHeight="1" x14ac:dyDescent="0.3">
      <c r="A32" s="502" t="s">
        <v>20</v>
      </c>
      <c r="B32" s="503">
        <f>COUNT(B24:B29)</f>
        <v>6</v>
      </c>
      <c r="C32" s="504"/>
      <c r="D32" s="505"/>
      <c r="E32" s="506"/>
    </row>
    <row r="33" spans="1:5" s="475" customFormat="1" ht="15.75" customHeight="1" x14ac:dyDescent="0.25">
      <c r="A33" s="482"/>
      <c r="B33" s="482"/>
      <c r="C33" s="482"/>
      <c r="D33" s="482"/>
      <c r="E33" s="482"/>
    </row>
    <row r="34" spans="1:5" s="475" customFormat="1" ht="16.5" customHeight="1" x14ac:dyDescent="0.3">
      <c r="A34" s="483" t="s">
        <v>21</v>
      </c>
      <c r="B34" s="507" t="s">
        <v>22</v>
      </c>
      <c r="C34" s="508"/>
      <c r="D34" s="508"/>
      <c r="E34" s="508"/>
    </row>
    <row r="35" spans="1:5" ht="16.5" customHeight="1" x14ac:dyDescent="0.3">
      <c r="A35" s="483"/>
      <c r="B35" s="520" t="s">
        <v>137</v>
      </c>
      <c r="C35" s="508"/>
      <c r="D35" s="508"/>
      <c r="E35" s="508"/>
    </row>
    <row r="36" spans="1:5" ht="16.5" customHeight="1" x14ac:dyDescent="0.3">
      <c r="A36" s="483"/>
      <c r="B36" s="507" t="s">
        <v>24</v>
      </c>
      <c r="C36" s="508"/>
      <c r="D36" s="508"/>
      <c r="E36" s="508"/>
    </row>
    <row r="37" spans="1:5" ht="15.75" customHeight="1" x14ac:dyDescent="0.25">
      <c r="A37" s="482"/>
      <c r="B37" s="482"/>
      <c r="C37" s="482"/>
      <c r="D37" s="482"/>
      <c r="E37" s="482"/>
    </row>
    <row r="38" spans="1:5" ht="16.5" customHeight="1" x14ac:dyDescent="0.3">
      <c r="A38" s="478" t="s">
        <v>1</v>
      </c>
      <c r="B38" s="479" t="s">
        <v>25</v>
      </c>
    </row>
    <row r="39" spans="1:5" ht="16.5" customHeight="1" x14ac:dyDescent="0.3">
      <c r="A39" s="483" t="s">
        <v>4</v>
      </c>
      <c r="B39" s="480" t="s">
        <v>133</v>
      </c>
      <c r="C39" s="482"/>
      <c r="D39" s="482"/>
      <c r="E39" s="482"/>
    </row>
    <row r="40" spans="1:5" ht="16.5" customHeight="1" x14ac:dyDescent="0.3">
      <c r="A40" s="483" t="s">
        <v>6</v>
      </c>
      <c r="B40" s="484">
        <v>98.9</v>
      </c>
      <c r="C40" s="482"/>
      <c r="D40" s="482"/>
      <c r="E40" s="482"/>
    </row>
    <row r="41" spans="1:5" ht="16.5" customHeight="1" x14ac:dyDescent="0.3">
      <c r="A41" s="480" t="s">
        <v>8</v>
      </c>
      <c r="B41" s="484">
        <v>14.73</v>
      </c>
      <c r="C41" s="482"/>
      <c r="D41" s="482"/>
      <c r="E41" s="482"/>
    </row>
    <row r="42" spans="1:5" ht="16.5" customHeight="1" x14ac:dyDescent="0.3">
      <c r="A42" s="480" t="s">
        <v>10</v>
      </c>
      <c r="B42" s="485">
        <f>14.73/50</f>
        <v>0.29460000000000003</v>
      </c>
      <c r="C42" s="482"/>
      <c r="D42" s="482"/>
      <c r="E42" s="482"/>
    </row>
    <row r="43" spans="1:5" ht="15.75" customHeight="1" x14ac:dyDescent="0.25">
      <c r="A43" s="482"/>
      <c r="B43" s="482"/>
      <c r="C43" s="482"/>
      <c r="D43" s="482"/>
      <c r="E43" s="482"/>
    </row>
    <row r="44" spans="1:5" ht="16.5" customHeight="1" x14ac:dyDescent="0.3">
      <c r="A44" s="486" t="s">
        <v>13</v>
      </c>
      <c r="B44" s="487" t="s">
        <v>14</v>
      </c>
      <c r="C44" s="486" t="s">
        <v>15</v>
      </c>
      <c r="D44" s="486" t="s">
        <v>16</v>
      </c>
      <c r="E44" s="486" t="s">
        <v>17</v>
      </c>
    </row>
    <row r="45" spans="1:5" ht="16.5" customHeight="1" x14ac:dyDescent="0.3">
      <c r="A45" s="488">
        <v>1</v>
      </c>
      <c r="B45" s="489">
        <v>3995794</v>
      </c>
      <c r="C45" s="489">
        <v>1694</v>
      </c>
      <c r="D45" s="490">
        <v>0.79</v>
      </c>
      <c r="E45" s="491">
        <v>4.97</v>
      </c>
    </row>
    <row r="46" spans="1:5" ht="16.5" customHeight="1" x14ac:dyDescent="0.3">
      <c r="A46" s="488">
        <v>2</v>
      </c>
      <c r="B46" s="489">
        <v>4022073</v>
      </c>
      <c r="C46" s="489">
        <v>1732</v>
      </c>
      <c r="D46" s="490">
        <v>0.8</v>
      </c>
      <c r="E46" s="490">
        <v>4.9800000000000004</v>
      </c>
    </row>
    <row r="47" spans="1:5" ht="16.5" customHeight="1" x14ac:dyDescent="0.3">
      <c r="A47" s="488">
        <v>3</v>
      </c>
      <c r="B47" s="489">
        <v>4011105</v>
      </c>
      <c r="C47" s="489">
        <v>1697</v>
      </c>
      <c r="D47" s="490">
        <v>0.81</v>
      </c>
      <c r="E47" s="490">
        <v>4.97</v>
      </c>
    </row>
    <row r="48" spans="1:5" ht="16.5" customHeight="1" x14ac:dyDescent="0.3">
      <c r="A48" s="488">
        <v>4</v>
      </c>
      <c r="B48" s="489">
        <v>4009549</v>
      </c>
      <c r="C48" s="489">
        <v>1750</v>
      </c>
      <c r="D48" s="490">
        <v>0.8</v>
      </c>
      <c r="E48" s="490">
        <v>4.9800000000000004</v>
      </c>
    </row>
    <row r="49" spans="1:7" ht="16.5" customHeight="1" x14ac:dyDescent="0.3">
      <c r="A49" s="488">
        <v>5</v>
      </c>
      <c r="B49" s="489">
        <v>4008018</v>
      </c>
      <c r="C49" s="489">
        <v>1732</v>
      </c>
      <c r="D49" s="490">
        <v>0.8</v>
      </c>
      <c r="E49" s="490">
        <v>4.9800000000000004</v>
      </c>
    </row>
    <row r="50" spans="1:7" ht="16.5" customHeight="1" x14ac:dyDescent="0.3">
      <c r="A50" s="488">
        <v>6</v>
      </c>
      <c r="B50" s="492">
        <v>4015736</v>
      </c>
      <c r="C50" s="492">
        <v>1715</v>
      </c>
      <c r="D50" s="493">
        <v>0.81</v>
      </c>
      <c r="E50" s="493">
        <v>4.9800000000000004</v>
      </c>
    </row>
    <row r="51" spans="1:7" ht="16.5" customHeight="1" x14ac:dyDescent="0.3">
      <c r="A51" s="494" t="s">
        <v>18</v>
      </c>
      <c r="B51" s="495">
        <f>AVERAGE(B45:B50)</f>
        <v>4010379.1666666665</v>
      </c>
      <c r="C51" s="496">
        <f>AVERAGE(C45:C50)</f>
        <v>1720</v>
      </c>
      <c r="D51" s="497">
        <f>AVERAGE(D45:D50)</f>
        <v>0.80166666666666675</v>
      </c>
      <c r="E51" s="497">
        <f>AVERAGE(E45:E50)</f>
        <v>4.9766666666666666</v>
      </c>
    </row>
    <row r="52" spans="1:7" ht="16.5" customHeight="1" x14ac:dyDescent="0.3">
      <c r="A52" s="498" t="s">
        <v>19</v>
      </c>
      <c r="B52" s="499">
        <f>(STDEV(B45:B50)/B51)</f>
        <v>2.1879487419527105E-3</v>
      </c>
      <c r="C52" s="500"/>
      <c r="D52" s="500"/>
      <c r="E52" s="501"/>
    </row>
    <row r="53" spans="1:7" s="475" customFormat="1" ht="16.5" customHeight="1" x14ac:dyDescent="0.3">
      <c r="A53" s="502" t="s">
        <v>20</v>
      </c>
      <c r="B53" s="503">
        <f>COUNT(B45:B50)</f>
        <v>6</v>
      </c>
      <c r="C53" s="504"/>
      <c r="D53" s="505"/>
      <c r="E53" s="506"/>
    </row>
    <row r="54" spans="1:7" s="475" customFormat="1" ht="15.75" customHeight="1" x14ac:dyDescent="0.25">
      <c r="A54" s="482"/>
      <c r="B54" s="482"/>
      <c r="C54" s="482"/>
      <c r="D54" s="482"/>
      <c r="E54" s="482"/>
    </row>
    <row r="55" spans="1:7" s="475" customFormat="1" ht="16.5" customHeight="1" x14ac:dyDescent="0.3">
      <c r="A55" s="483" t="s">
        <v>21</v>
      </c>
      <c r="B55" s="507" t="s">
        <v>22</v>
      </c>
      <c r="C55" s="508"/>
      <c r="D55" s="508"/>
      <c r="E55" s="508"/>
    </row>
    <row r="56" spans="1:7" ht="16.5" customHeight="1" x14ac:dyDescent="0.3">
      <c r="A56" s="483"/>
      <c r="B56" s="507" t="s">
        <v>23</v>
      </c>
      <c r="C56" s="508"/>
      <c r="D56" s="508"/>
      <c r="E56" s="508"/>
    </row>
    <row r="57" spans="1:7" ht="16.5" customHeight="1" x14ac:dyDescent="0.3">
      <c r="A57" s="483"/>
      <c r="B57" s="507" t="s">
        <v>24</v>
      </c>
      <c r="C57" s="508"/>
      <c r="D57" s="508"/>
      <c r="E57" s="508"/>
    </row>
    <row r="58" spans="1:7" ht="14.25" customHeight="1" thickBot="1" x14ac:dyDescent="0.3">
      <c r="A58" s="509"/>
      <c r="B58" s="510"/>
      <c r="D58" s="511"/>
      <c r="F58" s="512"/>
      <c r="G58" s="512"/>
    </row>
    <row r="59" spans="1:7" ht="15" customHeight="1" x14ac:dyDescent="0.3">
      <c r="B59" s="513" t="s">
        <v>26</v>
      </c>
      <c r="C59" s="513"/>
      <c r="E59" s="514" t="s">
        <v>27</v>
      </c>
      <c r="F59" s="515"/>
      <c r="G59" s="514" t="s">
        <v>28</v>
      </c>
    </row>
    <row r="60" spans="1:7" ht="15" customHeight="1" x14ac:dyDescent="0.3">
      <c r="A60" s="516" t="s">
        <v>29</v>
      </c>
      <c r="B60" s="517" t="s">
        <v>136</v>
      </c>
      <c r="C60" s="517"/>
      <c r="E60" s="517"/>
      <c r="G60" s="517"/>
    </row>
    <row r="61" spans="1:7" ht="15" customHeight="1" x14ac:dyDescent="0.3">
      <c r="A61" s="516" t="s">
        <v>30</v>
      </c>
      <c r="B61" s="518"/>
      <c r="C61" s="518"/>
      <c r="E61" s="518"/>
      <c r="G61" s="51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C20" sqref="C20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8" t="s">
        <v>31</v>
      </c>
      <c r="B11" s="429"/>
      <c r="C11" s="429"/>
      <c r="D11" s="429"/>
      <c r="E11" s="429"/>
      <c r="F11" s="430"/>
      <c r="G11" s="43"/>
    </row>
    <row r="12" spans="1:7" ht="16.5" customHeight="1" x14ac:dyDescent="0.3">
      <c r="A12" s="427" t="s">
        <v>32</v>
      </c>
      <c r="B12" s="427"/>
      <c r="C12" s="427"/>
      <c r="D12" s="427"/>
      <c r="E12" s="427"/>
      <c r="F12" s="427"/>
      <c r="G12" s="42"/>
    </row>
    <row r="14" spans="1:7" ht="16.5" customHeight="1" x14ac:dyDescent="0.3">
      <c r="A14" s="432" t="s">
        <v>33</v>
      </c>
      <c r="B14" s="432"/>
      <c r="C14" s="12" t="s">
        <v>5</v>
      </c>
    </row>
    <row r="15" spans="1:7" ht="16.5" customHeight="1" x14ac:dyDescent="0.3">
      <c r="A15" s="432" t="s">
        <v>34</v>
      </c>
      <c r="B15" s="432"/>
      <c r="C15" s="12" t="s">
        <v>7</v>
      </c>
    </row>
    <row r="16" spans="1:7" ht="16.5" customHeight="1" x14ac:dyDescent="0.3">
      <c r="A16" s="432" t="s">
        <v>35</v>
      </c>
      <c r="B16" s="432"/>
      <c r="C16" s="12" t="s">
        <v>9</v>
      </c>
    </row>
    <row r="17" spans="1:5" ht="16.5" customHeight="1" x14ac:dyDescent="0.3">
      <c r="A17" s="432" t="s">
        <v>36</v>
      </c>
      <c r="B17" s="432"/>
      <c r="C17" s="12" t="s">
        <v>11</v>
      </c>
    </row>
    <row r="18" spans="1:5" ht="16.5" customHeight="1" x14ac:dyDescent="0.3">
      <c r="A18" s="432" t="s">
        <v>37</v>
      </c>
      <c r="B18" s="432"/>
      <c r="C18" s="49" t="s">
        <v>12</v>
      </c>
    </row>
    <row r="19" spans="1:5" ht="16.5" customHeight="1" x14ac:dyDescent="0.3">
      <c r="A19" s="432" t="s">
        <v>38</v>
      </c>
      <c r="B19" s="432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27" t="s">
        <v>1</v>
      </c>
      <c r="B21" s="427"/>
      <c r="C21" s="11" t="s">
        <v>39</v>
      </c>
      <c r="D21" s="18"/>
    </row>
    <row r="22" spans="1:5" ht="15.75" customHeight="1" x14ac:dyDescent="0.3">
      <c r="A22" s="431"/>
      <c r="B22" s="431"/>
      <c r="C22" s="9"/>
      <c r="D22" s="431"/>
      <c r="E22" s="431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1197.1099999999999</v>
      </c>
      <c r="D24" s="39">
        <f t="shared" ref="D24:D43" si="0">(C24-$C$46)/$C$46</f>
        <v>3.4299566309981063E-3</v>
      </c>
      <c r="E24" s="5"/>
    </row>
    <row r="25" spans="1:5" ht="15.75" customHeight="1" x14ac:dyDescent="0.3">
      <c r="C25" s="47">
        <v>1198.48</v>
      </c>
      <c r="D25" s="40">
        <f t="shared" si="0"/>
        <v>4.5783047699198311E-3</v>
      </c>
      <c r="E25" s="5"/>
    </row>
    <row r="26" spans="1:5" ht="15.75" customHeight="1" x14ac:dyDescent="0.3">
      <c r="C26" s="47">
        <v>1204.8399999999999</v>
      </c>
      <c r="D26" s="40">
        <f t="shared" si="0"/>
        <v>9.9093224075413096E-3</v>
      </c>
      <c r="E26" s="5"/>
    </row>
    <row r="27" spans="1:5" ht="15.75" customHeight="1" x14ac:dyDescent="0.3">
      <c r="C27" s="47">
        <v>1198.21</v>
      </c>
      <c r="D27" s="40">
        <f t="shared" si="0"/>
        <v>4.3519879834170447E-3</v>
      </c>
      <c r="E27" s="5"/>
    </row>
    <row r="28" spans="1:5" ht="15.75" customHeight="1" x14ac:dyDescent="0.3">
      <c r="C28" s="47">
        <v>1152.18</v>
      </c>
      <c r="D28" s="40">
        <f t="shared" si="0"/>
        <v>-3.4230833063708797E-2</v>
      </c>
      <c r="E28" s="5"/>
    </row>
    <row r="29" spans="1:5" ht="15.75" customHeight="1" x14ac:dyDescent="0.3">
      <c r="C29" s="47">
        <v>1186.9000000000001</v>
      </c>
      <c r="D29" s="40">
        <f t="shared" si="0"/>
        <v>-5.1281707400891788E-3</v>
      </c>
      <c r="E29" s="5"/>
    </row>
    <row r="30" spans="1:5" ht="15.75" customHeight="1" x14ac:dyDescent="0.3">
      <c r="C30" s="47">
        <v>1199.08</v>
      </c>
      <c r="D30" s="40">
        <f t="shared" si="0"/>
        <v>5.0812309621482048E-3</v>
      </c>
      <c r="E30" s="5"/>
    </row>
    <row r="31" spans="1:5" ht="15.75" customHeight="1" x14ac:dyDescent="0.3">
      <c r="C31" s="47">
        <v>1199.25</v>
      </c>
      <c r="D31" s="40">
        <f t="shared" si="0"/>
        <v>5.2237267166129926E-3</v>
      </c>
      <c r="E31" s="5"/>
    </row>
    <row r="32" spans="1:5" ht="15.75" customHeight="1" x14ac:dyDescent="0.3">
      <c r="C32" s="47">
        <v>1189.1300000000001</v>
      </c>
      <c r="D32" s="40">
        <f t="shared" si="0"/>
        <v>-3.2589617256400935E-3</v>
      </c>
      <c r="E32" s="5"/>
    </row>
    <row r="33" spans="1:7" ht="15.75" customHeight="1" x14ac:dyDescent="0.3">
      <c r="C33" s="47">
        <v>1190.25</v>
      </c>
      <c r="D33" s="40">
        <f t="shared" si="0"/>
        <v>-2.3201661668137467E-3</v>
      </c>
      <c r="E33" s="5"/>
    </row>
    <row r="34" spans="1:7" ht="15.75" customHeight="1" x14ac:dyDescent="0.3">
      <c r="C34" s="47">
        <v>1188.95</v>
      </c>
      <c r="D34" s="40">
        <f t="shared" si="0"/>
        <v>-3.4098395833086818E-3</v>
      </c>
      <c r="E34" s="5"/>
    </row>
    <row r="35" spans="1:7" ht="15.75" customHeight="1" x14ac:dyDescent="0.3">
      <c r="C35" s="47">
        <v>1188.1600000000001</v>
      </c>
      <c r="D35" s="40">
        <f t="shared" si="0"/>
        <v>-4.0720257364094429E-3</v>
      </c>
      <c r="E35" s="5"/>
    </row>
    <row r="36" spans="1:7" ht="15.75" customHeight="1" x14ac:dyDescent="0.3">
      <c r="C36" s="47">
        <v>1203.54</v>
      </c>
      <c r="D36" s="40">
        <f t="shared" si="0"/>
        <v>8.8196489910463746E-3</v>
      </c>
      <c r="E36" s="5"/>
    </row>
    <row r="37" spans="1:7" ht="15.75" customHeight="1" x14ac:dyDescent="0.3">
      <c r="C37" s="47">
        <v>1203.71</v>
      </c>
      <c r="D37" s="40">
        <f t="shared" si="0"/>
        <v>8.9621447455111632E-3</v>
      </c>
      <c r="E37" s="5"/>
    </row>
    <row r="38" spans="1:7" ht="15.75" customHeight="1" x14ac:dyDescent="0.3">
      <c r="C38" s="47">
        <v>1203.42</v>
      </c>
      <c r="D38" s="40">
        <f t="shared" si="0"/>
        <v>8.719063752600776E-3</v>
      </c>
      <c r="E38" s="5"/>
    </row>
    <row r="39" spans="1:7" ht="15.75" customHeight="1" x14ac:dyDescent="0.3">
      <c r="C39" s="47">
        <v>1177.96</v>
      </c>
      <c r="D39" s="40">
        <f t="shared" si="0"/>
        <v>-1.2621771004293118E-2</v>
      </c>
      <c r="E39" s="5"/>
    </row>
    <row r="40" spans="1:7" ht="15.75" customHeight="1" x14ac:dyDescent="0.3">
      <c r="C40" s="47">
        <v>1193.6500000000001</v>
      </c>
      <c r="D40" s="40">
        <f t="shared" si="0"/>
        <v>5.2974892248087567E-4</v>
      </c>
      <c r="E40" s="5"/>
    </row>
    <row r="41" spans="1:7" ht="15.75" customHeight="1" x14ac:dyDescent="0.3">
      <c r="C41" s="47">
        <v>1189.5999999999999</v>
      </c>
      <c r="D41" s="40">
        <f t="shared" si="0"/>
        <v>-2.8650028750613096E-3</v>
      </c>
      <c r="E41" s="5"/>
    </row>
    <row r="42" spans="1:7" ht="15.75" customHeight="1" x14ac:dyDescent="0.3">
      <c r="C42" s="47">
        <v>1197.9100000000001</v>
      </c>
      <c r="D42" s="40">
        <f t="shared" si="0"/>
        <v>4.1005248873028583E-3</v>
      </c>
      <c r="E42" s="5"/>
    </row>
    <row r="43" spans="1:7" ht="16.5" customHeight="1" x14ac:dyDescent="0.3">
      <c r="C43" s="48">
        <v>1198.03</v>
      </c>
      <c r="D43" s="41">
        <f t="shared" si="0"/>
        <v>4.201110125748456E-3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23860.359999999997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1193.0179999999998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25">
        <f>C46</f>
        <v>1193.0179999999998</v>
      </c>
      <c r="C49" s="45">
        <f>-IF(C46&lt;=80,10%,IF(C46&lt;250,7.5%,5%))</f>
        <v>-0.05</v>
      </c>
      <c r="D49" s="33">
        <f>IF(C46&lt;=80,C46*0.9,IF(C46&lt;250,C46*0.925,C46*0.95))</f>
        <v>1133.3670999999997</v>
      </c>
    </row>
    <row r="50" spans="1:6" ht="17.25" customHeight="1" x14ac:dyDescent="0.3">
      <c r="B50" s="426"/>
      <c r="C50" s="46">
        <f>IF(C46&lt;=80, 10%, IF(C46&lt;250, 7.5%, 5%))</f>
        <v>0.05</v>
      </c>
      <c r="D50" s="33">
        <f>IF(C46&lt;=80, C46*1.1, IF(C46&lt;250, C46*1.075, C46*1.05))</f>
        <v>1252.6688999999999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activeCell="A8" sqref="A8:I1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33" t="s">
        <v>45</v>
      </c>
      <c r="B1" s="433"/>
      <c r="C1" s="433"/>
      <c r="D1" s="433"/>
      <c r="E1" s="433"/>
      <c r="F1" s="433"/>
      <c r="G1" s="433"/>
      <c r="H1" s="433"/>
      <c r="I1" s="433"/>
    </row>
    <row r="2" spans="1:9" ht="18.75" customHeight="1" x14ac:dyDescent="0.25">
      <c r="A2" s="433"/>
      <c r="B2" s="433"/>
      <c r="C2" s="433"/>
      <c r="D2" s="433"/>
      <c r="E2" s="433"/>
      <c r="F2" s="433"/>
      <c r="G2" s="433"/>
      <c r="H2" s="433"/>
      <c r="I2" s="433"/>
    </row>
    <row r="3" spans="1:9" ht="18.75" customHeight="1" x14ac:dyDescent="0.25">
      <c r="A3" s="433"/>
      <c r="B3" s="433"/>
      <c r="C3" s="433"/>
      <c r="D3" s="433"/>
      <c r="E3" s="433"/>
      <c r="F3" s="433"/>
      <c r="G3" s="433"/>
      <c r="H3" s="433"/>
      <c r="I3" s="433"/>
    </row>
    <row r="4" spans="1:9" ht="18.75" customHeight="1" x14ac:dyDescent="0.25">
      <c r="A4" s="433"/>
      <c r="B4" s="433"/>
      <c r="C4" s="433"/>
      <c r="D4" s="433"/>
      <c r="E4" s="433"/>
      <c r="F4" s="433"/>
      <c r="G4" s="433"/>
      <c r="H4" s="433"/>
      <c r="I4" s="433"/>
    </row>
    <row r="5" spans="1:9" ht="18.75" customHeight="1" x14ac:dyDescent="0.25">
      <c r="A5" s="433"/>
      <c r="B5" s="433"/>
      <c r="C5" s="433"/>
      <c r="D5" s="433"/>
      <c r="E5" s="433"/>
      <c r="F5" s="433"/>
      <c r="G5" s="433"/>
      <c r="H5" s="433"/>
      <c r="I5" s="433"/>
    </row>
    <row r="6" spans="1:9" ht="18.75" customHeight="1" x14ac:dyDescent="0.25">
      <c r="A6" s="433"/>
      <c r="B6" s="433"/>
      <c r="C6" s="433"/>
      <c r="D6" s="433"/>
      <c r="E6" s="433"/>
      <c r="F6" s="433"/>
      <c r="G6" s="433"/>
      <c r="H6" s="433"/>
      <c r="I6" s="433"/>
    </row>
    <row r="7" spans="1:9" ht="18.75" customHeight="1" x14ac:dyDescent="0.25">
      <c r="A7" s="433"/>
      <c r="B7" s="433"/>
      <c r="C7" s="433"/>
      <c r="D7" s="433"/>
      <c r="E7" s="433"/>
      <c r="F7" s="433"/>
      <c r="G7" s="433"/>
      <c r="H7" s="433"/>
      <c r="I7" s="433"/>
    </row>
    <row r="8" spans="1:9" x14ac:dyDescent="0.25">
      <c r="A8" s="434" t="s">
        <v>46</v>
      </c>
      <c r="B8" s="434"/>
      <c r="C8" s="434"/>
      <c r="D8" s="434"/>
      <c r="E8" s="434"/>
      <c r="F8" s="434"/>
      <c r="G8" s="434"/>
      <c r="H8" s="434"/>
      <c r="I8" s="434"/>
    </row>
    <row r="9" spans="1:9" x14ac:dyDescent="0.25">
      <c r="A9" s="434"/>
      <c r="B9" s="434"/>
      <c r="C9" s="434"/>
      <c r="D9" s="434"/>
      <c r="E9" s="434"/>
      <c r="F9" s="434"/>
      <c r="G9" s="434"/>
      <c r="H9" s="434"/>
      <c r="I9" s="434"/>
    </row>
    <row r="10" spans="1:9" x14ac:dyDescent="0.25">
      <c r="A10" s="434"/>
      <c r="B10" s="434"/>
      <c r="C10" s="434"/>
      <c r="D10" s="434"/>
      <c r="E10" s="434"/>
      <c r="F10" s="434"/>
      <c r="G10" s="434"/>
      <c r="H10" s="434"/>
      <c r="I10" s="434"/>
    </row>
    <row r="11" spans="1:9" x14ac:dyDescent="0.25">
      <c r="A11" s="434"/>
      <c r="B11" s="434"/>
      <c r="C11" s="434"/>
      <c r="D11" s="434"/>
      <c r="E11" s="434"/>
      <c r="F11" s="434"/>
      <c r="G11" s="434"/>
      <c r="H11" s="434"/>
      <c r="I11" s="434"/>
    </row>
    <row r="12" spans="1:9" x14ac:dyDescent="0.25">
      <c r="A12" s="434"/>
      <c r="B12" s="434"/>
      <c r="C12" s="434"/>
      <c r="D12" s="434"/>
      <c r="E12" s="434"/>
      <c r="F12" s="434"/>
      <c r="G12" s="434"/>
      <c r="H12" s="434"/>
      <c r="I12" s="434"/>
    </row>
    <row r="13" spans="1:9" x14ac:dyDescent="0.25">
      <c r="A13" s="434"/>
      <c r="B13" s="434"/>
      <c r="C13" s="434"/>
      <c r="D13" s="434"/>
      <c r="E13" s="434"/>
      <c r="F13" s="434"/>
      <c r="G13" s="434"/>
      <c r="H13" s="434"/>
      <c r="I13" s="434"/>
    </row>
    <row r="14" spans="1:9" x14ac:dyDescent="0.25">
      <c r="A14" s="434"/>
      <c r="B14" s="434"/>
      <c r="C14" s="434"/>
      <c r="D14" s="434"/>
      <c r="E14" s="434"/>
      <c r="F14" s="434"/>
      <c r="G14" s="434"/>
      <c r="H14" s="434"/>
      <c r="I14" s="434"/>
    </row>
    <row r="15" spans="1:9" ht="19.5" customHeight="1" x14ac:dyDescent="0.3">
      <c r="A15" s="50"/>
    </row>
    <row r="16" spans="1:9" ht="19.5" customHeight="1" x14ac:dyDescent="0.3">
      <c r="A16" s="466" t="s">
        <v>31</v>
      </c>
      <c r="B16" s="467"/>
      <c r="C16" s="467"/>
      <c r="D16" s="467"/>
      <c r="E16" s="467"/>
      <c r="F16" s="467"/>
      <c r="G16" s="467"/>
      <c r="H16" s="468"/>
    </row>
    <row r="17" spans="1:14" ht="20.25" customHeight="1" x14ac:dyDescent="0.25">
      <c r="A17" s="469" t="s">
        <v>47</v>
      </c>
      <c r="B17" s="469"/>
      <c r="C17" s="469"/>
      <c r="D17" s="469"/>
      <c r="E17" s="469"/>
      <c r="F17" s="469"/>
      <c r="G17" s="469"/>
      <c r="H17" s="469"/>
    </row>
    <row r="18" spans="1:14" ht="26.25" customHeight="1" x14ac:dyDescent="0.4">
      <c r="A18" s="52" t="s">
        <v>33</v>
      </c>
      <c r="B18" s="470" t="s">
        <v>5</v>
      </c>
      <c r="C18" s="470"/>
      <c r="D18" s="197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6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65" t="s">
        <v>131</v>
      </c>
      <c r="C20" s="465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65" t="s">
        <v>11</v>
      </c>
      <c r="C21" s="465"/>
      <c r="D21" s="465"/>
      <c r="E21" s="465"/>
      <c r="F21" s="465"/>
      <c r="G21" s="465"/>
      <c r="H21" s="465"/>
      <c r="I21" s="56"/>
    </row>
    <row r="22" spans="1:14" ht="26.25" customHeight="1" x14ac:dyDescent="0.4">
      <c r="A22" s="52" t="s">
        <v>37</v>
      </c>
      <c r="B22" s="57">
        <v>43291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244">
        <v>43306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65" t="s">
        <v>131</v>
      </c>
      <c r="C26" s="465"/>
    </row>
    <row r="27" spans="1:14" ht="26.25" customHeight="1" x14ac:dyDescent="0.4">
      <c r="A27" s="61" t="s">
        <v>48</v>
      </c>
      <c r="B27" s="471" t="s">
        <v>132</v>
      </c>
      <c r="C27" s="471"/>
    </row>
    <row r="28" spans="1:14" ht="27" customHeight="1" x14ac:dyDescent="0.4">
      <c r="A28" s="61" t="s">
        <v>6</v>
      </c>
      <c r="B28" s="62">
        <v>99.1</v>
      </c>
    </row>
    <row r="29" spans="1:14" s="3" customFormat="1" ht="27" customHeight="1" x14ac:dyDescent="0.4">
      <c r="A29" s="61" t="s">
        <v>49</v>
      </c>
      <c r="B29" s="63">
        <v>0</v>
      </c>
      <c r="C29" s="441" t="s">
        <v>50</v>
      </c>
      <c r="D29" s="442"/>
      <c r="E29" s="442"/>
      <c r="F29" s="442"/>
      <c r="G29" s="443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99.1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444" t="s">
        <v>53</v>
      </c>
      <c r="D31" s="445"/>
      <c r="E31" s="445"/>
      <c r="F31" s="445"/>
      <c r="G31" s="445"/>
      <c r="H31" s="446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444" t="s">
        <v>55</v>
      </c>
      <c r="D32" s="445"/>
      <c r="E32" s="445"/>
      <c r="F32" s="445"/>
      <c r="G32" s="445"/>
      <c r="H32" s="446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50</v>
      </c>
      <c r="C36" s="51"/>
      <c r="D36" s="447" t="s">
        <v>59</v>
      </c>
      <c r="E36" s="472"/>
      <c r="F36" s="447" t="s">
        <v>60</v>
      </c>
      <c r="G36" s="448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10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25</v>
      </c>
      <c r="C38" s="83">
        <v>1</v>
      </c>
      <c r="D38" s="271">
        <v>1389606</v>
      </c>
      <c r="E38" s="84">
        <f>IF(ISBLANK(D38),"-",$D$48/$D$45*D38)</f>
        <v>1437689.030391776</v>
      </c>
      <c r="F38" s="271">
        <v>1457963</v>
      </c>
      <c r="G38" s="85">
        <f>IF(ISBLANK(F38),"-",$D$48/$F$45*F38)</f>
        <v>1450891.3555331316</v>
      </c>
      <c r="I38" s="86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7">
        <v>2</v>
      </c>
      <c r="D39" s="276">
        <v>1399352</v>
      </c>
      <c r="E39" s="89">
        <f>IF(ISBLANK(D39),"-",$D$48/$D$45*D39)</f>
        <v>1447772.2606672628</v>
      </c>
      <c r="F39" s="276">
        <v>1456063</v>
      </c>
      <c r="G39" s="90">
        <f>IF(ISBLANK(F39),"-",$D$48/$F$45*F39)</f>
        <v>1449000.5712158938</v>
      </c>
      <c r="I39" s="449">
        <f>ABS((F43/D43*D42)-F42)/D42</f>
        <v>2.3654832974929923E-3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7">
        <v>3</v>
      </c>
      <c r="D40" s="276">
        <v>1411199</v>
      </c>
      <c r="E40" s="89">
        <f>IF(ISBLANK(D40),"-",$D$48/$D$45*D40)</f>
        <v>1460029.1895687294</v>
      </c>
      <c r="F40" s="276">
        <v>1442709</v>
      </c>
      <c r="G40" s="90">
        <f>IF(ISBLANK(F40),"-",$D$48/$F$45*F40)</f>
        <v>1435711.3429146342</v>
      </c>
      <c r="I40" s="449"/>
      <c r="L40" s="69"/>
      <c r="M40" s="69"/>
      <c r="N40" s="91"/>
    </row>
    <row r="41" spans="1:14" ht="27" customHeight="1" x14ac:dyDescent="0.4">
      <c r="A41" s="76" t="s">
        <v>69</v>
      </c>
      <c r="B41" s="77">
        <v>1</v>
      </c>
      <c r="C41" s="92">
        <v>4</v>
      </c>
      <c r="D41" s="93"/>
      <c r="E41" s="94" t="str">
        <f>IF(ISBLANK(D41),"-",$D$48/$D$45*D41)</f>
        <v>-</v>
      </c>
      <c r="F41" s="93"/>
      <c r="G41" s="95" t="str">
        <f>IF(ISBLANK(F41),"-",$D$48/$F$45*F41)</f>
        <v>-</v>
      </c>
      <c r="I41" s="96"/>
      <c r="L41" s="69"/>
      <c r="M41" s="69"/>
      <c r="N41" s="91"/>
    </row>
    <row r="42" spans="1:14" ht="27" customHeight="1" x14ac:dyDescent="0.4">
      <c r="A42" s="76" t="s">
        <v>70</v>
      </c>
      <c r="B42" s="77">
        <v>1</v>
      </c>
      <c r="C42" s="97" t="s">
        <v>71</v>
      </c>
      <c r="D42" s="98">
        <f>AVERAGE(D38:D41)</f>
        <v>1400052.3333333333</v>
      </c>
      <c r="E42" s="99">
        <f>AVERAGE(E38:E41)</f>
        <v>1448496.8268759225</v>
      </c>
      <c r="F42" s="98">
        <f>AVERAGE(F38:F41)</f>
        <v>1452245</v>
      </c>
      <c r="G42" s="100">
        <f>AVERAGE(G38:G41)</f>
        <v>1445201.0898878865</v>
      </c>
      <c r="H42" s="101"/>
    </row>
    <row r="43" spans="1:14" ht="26.25" customHeight="1" x14ac:dyDescent="0.4">
      <c r="A43" s="76" t="s">
        <v>72</v>
      </c>
      <c r="B43" s="77">
        <v>1</v>
      </c>
      <c r="C43" s="102" t="s">
        <v>73</v>
      </c>
      <c r="D43" s="103">
        <v>14.63</v>
      </c>
      <c r="E43" s="91"/>
      <c r="F43" s="103">
        <v>15.21</v>
      </c>
      <c r="H43" s="101"/>
    </row>
    <row r="44" spans="1:14" ht="26.25" customHeight="1" x14ac:dyDescent="0.4">
      <c r="A44" s="76" t="s">
        <v>74</v>
      </c>
      <c r="B44" s="77">
        <v>1</v>
      </c>
      <c r="C44" s="104" t="s">
        <v>75</v>
      </c>
      <c r="D44" s="105">
        <f>D43*$B$34</f>
        <v>14.63</v>
      </c>
      <c r="E44" s="106"/>
      <c r="F44" s="105">
        <f>F43*$B$34</f>
        <v>15.21</v>
      </c>
      <c r="H44" s="101"/>
    </row>
    <row r="45" spans="1:14" ht="19.5" customHeight="1" x14ac:dyDescent="0.3">
      <c r="A45" s="76" t="s">
        <v>76</v>
      </c>
      <c r="B45" s="107">
        <f>(B44/B43)*(B42/B41)*(B40/B39)*(B38/B37)*B36</f>
        <v>125</v>
      </c>
      <c r="C45" s="104" t="s">
        <v>77</v>
      </c>
      <c r="D45" s="108">
        <f>D44*$B$30/100</f>
        <v>14.498330000000001</v>
      </c>
      <c r="E45" s="109"/>
      <c r="F45" s="108">
        <f>F44*$B$30/100</f>
        <v>15.07311</v>
      </c>
      <c r="H45" s="101"/>
    </row>
    <row r="46" spans="1:14" ht="19.5" customHeight="1" x14ac:dyDescent="0.3">
      <c r="A46" s="435" t="s">
        <v>78</v>
      </c>
      <c r="B46" s="436"/>
      <c r="C46" s="104" t="s">
        <v>79</v>
      </c>
      <c r="D46" s="110">
        <f>D45/$B$45</f>
        <v>0.11598664</v>
      </c>
      <c r="E46" s="111"/>
      <c r="F46" s="112">
        <f>F45/$B$45</f>
        <v>0.12058487999999999</v>
      </c>
      <c r="H46" s="101"/>
    </row>
    <row r="47" spans="1:14" ht="27" customHeight="1" x14ac:dyDescent="0.4">
      <c r="A47" s="437"/>
      <c r="B47" s="438"/>
      <c r="C47" s="113" t="s">
        <v>80</v>
      </c>
      <c r="D47" s="114">
        <v>0.12</v>
      </c>
      <c r="E47" s="115"/>
      <c r="F47" s="111"/>
      <c r="H47" s="101"/>
    </row>
    <row r="48" spans="1:14" ht="18.75" x14ac:dyDescent="0.3">
      <c r="C48" s="116" t="s">
        <v>81</v>
      </c>
      <c r="D48" s="108">
        <f>D47*$B$45</f>
        <v>15</v>
      </c>
      <c r="F48" s="117"/>
      <c r="H48" s="101"/>
    </row>
    <row r="49" spans="1:12" ht="19.5" customHeight="1" x14ac:dyDescent="0.3">
      <c r="C49" s="118" t="s">
        <v>82</v>
      </c>
      <c r="D49" s="119">
        <f>D48/B34</f>
        <v>15</v>
      </c>
      <c r="F49" s="117"/>
      <c r="H49" s="101"/>
    </row>
    <row r="50" spans="1:12" ht="18.75" x14ac:dyDescent="0.3">
      <c r="C50" s="74" t="s">
        <v>83</v>
      </c>
      <c r="D50" s="120">
        <f>AVERAGE(E38:E41,G38:G41)</f>
        <v>1446848.9583819045</v>
      </c>
      <c r="F50" s="121"/>
      <c r="H50" s="101"/>
    </row>
    <row r="51" spans="1:12" ht="18.75" x14ac:dyDescent="0.3">
      <c r="C51" s="76" t="s">
        <v>84</v>
      </c>
      <c r="D51" s="122">
        <f>STDEV(E38:E41,G38:G41)/D50</f>
        <v>6.2088239878802234E-3</v>
      </c>
      <c r="F51" s="121"/>
      <c r="H51" s="101"/>
    </row>
    <row r="52" spans="1:12" ht="19.5" customHeight="1" x14ac:dyDescent="0.3">
      <c r="C52" s="123" t="s">
        <v>20</v>
      </c>
      <c r="D52" s="124">
        <f>COUNT(E38:E41,G38:G41)</f>
        <v>6</v>
      </c>
      <c r="F52" s="121"/>
    </row>
    <row r="54" spans="1:12" ht="18.75" x14ac:dyDescent="0.3">
      <c r="A54" s="125" t="s">
        <v>1</v>
      </c>
      <c r="B54" s="126" t="s">
        <v>85</v>
      </c>
    </row>
    <row r="55" spans="1:12" ht="18.75" x14ac:dyDescent="0.3">
      <c r="A55" s="51" t="s">
        <v>86</v>
      </c>
      <c r="B55" s="127" t="str">
        <f>B21</f>
        <v>Each film coated tablet contains: tenofovir disoproxil fumarate 300 mg equivalent to tenofovir disoproxil 245 mg and lamivudine USP 300 mg.</v>
      </c>
    </row>
    <row r="56" spans="1:12" ht="26.25" customHeight="1" x14ac:dyDescent="0.4">
      <c r="A56" s="128" t="s">
        <v>87</v>
      </c>
      <c r="B56" s="129">
        <v>300</v>
      </c>
      <c r="C56" s="51" t="str">
        <f>B20</f>
        <v xml:space="preserve">Tenofovir Disproxil Fumarate </v>
      </c>
      <c r="H56" s="130"/>
    </row>
    <row r="57" spans="1:12" ht="18.75" x14ac:dyDescent="0.3">
      <c r="A57" s="127" t="s">
        <v>88</v>
      </c>
      <c r="B57" s="198">
        <f>Uniformity!C46</f>
        <v>1193.0179999999998</v>
      </c>
      <c r="H57" s="130"/>
    </row>
    <row r="58" spans="1:12" ht="19.5" customHeight="1" x14ac:dyDescent="0.3">
      <c r="H58" s="130"/>
    </row>
    <row r="59" spans="1:12" s="3" customFormat="1" ht="27" customHeight="1" x14ac:dyDescent="0.4">
      <c r="A59" s="74" t="s">
        <v>89</v>
      </c>
      <c r="B59" s="75">
        <v>200</v>
      </c>
      <c r="C59" s="51"/>
      <c r="D59" s="131" t="s">
        <v>90</v>
      </c>
      <c r="E59" s="132" t="s">
        <v>62</v>
      </c>
      <c r="F59" s="132" t="s">
        <v>63</v>
      </c>
      <c r="G59" s="132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4</v>
      </c>
      <c r="C60" s="452" t="s">
        <v>94</v>
      </c>
      <c r="D60" s="455">
        <v>1202.3</v>
      </c>
      <c r="E60" s="133">
        <v>1</v>
      </c>
      <c r="F60" s="134">
        <v>1414315</v>
      </c>
      <c r="G60" s="199">
        <f>IF(ISBLANK(F60),"-",(F60/$D$50*$D$47*$B$68)*($B$57/$D$60))</f>
        <v>290.99019487333044</v>
      </c>
      <c r="H60" s="217">
        <f t="shared" ref="H60:H71" si="0">IF(ISBLANK(F60),"-",(G60/$B$56)*100)</f>
        <v>96.996731624443484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453"/>
      <c r="D61" s="456"/>
      <c r="E61" s="135">
        <v>2</v>
      </c>
      <c r="F61" s="88">
        <v>1420463</v>
      </c>
      <c r="G61" s="200">
        <f>IF(ISBLANK(F61),"-",(F61/$D$50*$D$47*$B$68)*($B$57/$D$60))</f>
        <v>292.25512363253983</v>
      </c>
      <c r="H61" s="218">
        <f t="shared" si="0"/>
        <v>97.41837454417994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53"/>
      <c r="D62" s="456"/>
      <c r="E62" s="135">
        <v>3</v>
      </c>
      <c r="F62" s="136">
        <v>1416945</v>
      </c>
      <c r="G62" s="200">
        <f>IF(ISBLANK(F62),"-",(F62/$D$50*$D$47*$B$68)*($B$57/$D$60))</f>
        <v>291.53130785913407</v>
      </c>
      <c r="H62" s="218">
        <f t="shared" si="0"/>
        <v>97.177102619711349</v>
      </c>
      <c r="L62" s="64"/>
    </row>
    <row r="63" spans="1:12" ht="27" customHeight="1" x14ac:dyDescent="0.4">
      <c r="A63" s="76" t="s">
        <v>97</v>
      </c>
      <c r="B63" s="77">
        <v>1</v>
      </c>
      <c r="C63" s="462"/>
      <c r="D63" s="457"/>
      <c r="E63" s="137">
        <v>4</v>
      </c>
      <c r="F63" s="138"/>
      <c r="G63" s="200" t="str">
        <f>IF(ISBLANK(F63),"-",(F63/$D$50*$D$47*$B$68)*($B$57/$D$60))</f>
        <v>-</v>
      </c>
      <c r="H63" s="21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52" t="s">
        <v>99</v>
      </c>
      <c r="D64" s="455">
        <v>1182.19</v>
      </c>
      <c r="E64" s="133">
        <v>1</v>
      </c>
      <c r="F64" s="134">
        <v>1390828</v>
      </c>
      <c r="G64" s="199">
        <f>IF(ISBLANK(F64),"-",(F64/$D$50*$D$47*$B$68)*($B$57/$D$64))</f>
        <v>291.0256037650081</v>
      </c>
      <c r="H64" s="217">
        <f t="shared" si="0"/>
        <v>97.008534588336033</v>
      </c>
    </row>
    <row r="65" spans="1:8" ht="26.25" customHeight="1" x14ac:dyDescent="0.4">
      <c r="A65" s="76" t="s">
        <v>100</v>
      </c>
      <c r="B65" s="77">
        <v>1</v>
      </c>
      <c r="C65" s="453"/>
      <c r="D65" s="456"/>
      <c r="E65" s="135">
        <v>2</v>
      </c>
      <c r="F65" s="88">
        <v>1395212</v>
      </c>
      <c r="G65" s="200">
        <f>IF(ISBLANK(F65),"-",(F65/$D$50*$D$47*$B$68)*($B$57/$D$64))</f>
        <v>291.94293951529914</v>
      </c>
      <c r="H65" s="218">
        <f t="shared" si="0"/>
        <v>97.314313171766386</v>
      </c>
    </row>
    <row r="66" spans="1:8" ht="26.25" customHeight="1" x14ac:dyDescent="0.4">
      <c r="A66" s="76" t="s">
        <v>101</v>
      </c>
      <c r="B66" s="77">
        <v>1</v>
      </c>
      <c r="C66" s="453"/>
      <c r="D66" s="456"/>
      <c r="E66" s="135">
        <v>3</v>
      </c>
      <c r="F66" s="88">
        <v>1403574</v>
      </c>
      <c r="G66" s="200">
        <f>IF(ISBLANK(F66),"-",(F66/$D$50*$D$47*$B$68)*($B$57/$D$64))</f>
        <v>293.69265702075842</v>
      </c>
      <c r="H66" s="218">
        <f t="shared" si="0"/>
        <v>97.897552340252801</v>
      </c>
    </row>
    <row r="67" spans="1:8" ht="27" customHeight="1" x14ac:dyDescent="0.4">
      <c r="A67" s="76" t="s">
        <v>102</v>
      </c>
      <c r="B67" s="77">
        <v>1</v>
      </c>
      <c r="C67" s="462"/>
      <c r="D67" s="457"/>
      <c r="E67" s="137">
        <v>4</v>
      </c>
      <c r="F67" s="138"/>
      <c r="G67" s="216" t="str">
        <f>IF(ISBLANK(F67),"-",(F67/$D$50*$D$47*$B$68)*($B$57/$D$64))</f>
        <v>-</v>
      </c>
      <c r="H67" s="219" t="str">
        <f t="shared" si="0"/>
        <v>-</v>
      </c>
    </row>
    <row r="68" spans="1:8" ht="26.25" customHeight="1" x14ac:dyDescent="0.4">
      <c r="A68" s="76" t="s">
        <v>103</v>
      </c>
      <c r="B68" s="139">
        <f>(B67/B66)*(B65/B64)*(B63/B62)*(B61/B60)*B59</f>
        <v>2500</v>
      </c>
      <c r="C68" s="452" t="s">
        <v>104</v>
      </c>
      <c r="D68" s="455">
        <v>1191.6500000000001</v>
      </c>
      <c r="E68" s="133">
        <v>1</v>
      </c>
      <c r="F68" s="134">
        <v>1390051</v>
      </c>
      <c r="G68" s="199">
        <f>IF(ISBLANK(F68),"-",(F68/$D$50*$D$47*$B$68)*($B$57/$D$68))</f>
        <v>288.55398220837719</v>
      </c>
      <c r="H68" s="218">
        <f t="shared" si="0"/>
        <v>96.184660736125721</v>
      </c>
    </row>
    <row r="69" spans="1:8" ht="27" customHeight="1" x14ac:dyDescent="0.4">
      <c r="A69" s="123" t="s">
        <v>105</v>
      </c>
      <c r="B69" s="140">
        <f>(D47*B68)/B56*B57</f>
        <v>1193.0179999999998</v>
      </c>
      <c r="C69" s="453"/>
      <c r="D69" s="456"/>
      <c r="E69" s="135">
        <v>2</v>
      </c>
      <c r="F69" s="88">
        <v>1389440</v>
      </c>
      <c r="G69" s="200">
        <f>IF(ISBLANK(F69),"-",(F69/$D$50*$D$47*$B$68)*($B$57/$D$68))</f>
        <v>288.42714766552274</v>
      </c>
      <c r="H69" s="218">
        <f t="shared" si="0"/>
        <v>96.142382555174237</v>
      </c>
    </row>
    <row r="70" spans="1:8" ht="26.25" customHeight="1" x14ac:dyDescent="0.4">
      <c r="A70" s="458" t="s">
        <v>78</v>
      </c>
      <c r="B70" s="459"/>
      <c r="C70" s="453"/>
      <c r="D70" s="456"/>
      <c r="E70" s="135">
        <v>3</v>
      </c>
      <c r="F70" s="88">
        <v>1386701</v>
      </c>
      <c r="G70" s="200">
        <f>IF(ISBLANK(F70),"-",(F70/$D$50*$D$47*$B$68)*($B$57/$D$68))</f>
        <v>287.85857186703134</v>
      </c>
      <c r="H70" s="218">
        <f t="shared" si="0"/>
        <v>95.952857289010453</v>
      </c>
    </row>
    <row r="71" spans="1:8" ht="27" customHeight="1" x14ac:dyDescent="0.4">
      <c r="A71" s="460"/>
      <c r="B71" s="461"/>
      <c r="C71" s="454"/>
      <c r="D71" s="457"/>
      <c r="E71" s="137">
        <v>4</v>
      </c>
      <c r="F71" s="138"/>
      <c r="G71" s="216" t="str">
        <f>IF(ISBLANK(F71),"-",(F71/$D$50*$D$47*$B$68)*($B$57/$D$68))</f>
        <v>-</v>
      </c>
      <c r="H71" s="219" t="str">
        <f t="shared" si="0"/>
        <v>-</v>
      </c>
    </row>
    <row r="72" spans="1:8" ht="26.25" customHeight="1" x14ac:dyDescent="0.4">
      <c r="A72" s="141"/>
      <c r="B72" s="141"/>
      <c r="C72" s="141"/>
      <c r="D72" s="141"/>
      <c r="E72" s="141"/>
      <c r="F72" s="143" t="s">
        <v>71</v>
      </c>
      <c r="G72" s="205">
        <f>AVERAGE(G60:G71)</f>
        <v>290.69750315633354</v>
      </c>
      <c r="H72" s="220">
        <f>AVERAGE(H60:H71)</f>
        <v>96.899167718777832</v>
      </c>
    </row>
    <row r="73" spans="1:8" ht="26.25" customHeight="1" x14ac:dyDescent="0.4">
      <c r="C73" s="141"/>
      <c r="D73" s="141"/>
      <c r="E73" s="141"/>
      <c r="F73" s="144" t="s">
        <v>84</v>
      </c>
      <c r="G73" s="204">
        <f>STDEV(G60:G71)/G72</f>
        <v>6.8417908406130986E-3</v>
      </c>
      <c r="H73" s="204">
        <f>STDEV(H60:H71)/H72</f>
        <v>6.8417908406131047E-3</v>
      </c>
    </row>
    <row r="74" spans="1:8" ht="27" customHeight="1" x14ac:dyDescent="0.4">
      <c r="A74" s="141"/>
      <c r="B74" s="141"/>
      <c r="C74" s="142"/>
      <c r="D74" s="142"/>
      <c r="E74" s="145"/>
      <c r="F74" s="146" t="s">
        <v>20</v>
      </c>
      <c r="G74" s="147">
        <f>COUNT(G60:G71)</f>
        <v>9</v>
      </c>
      <c r="H74" s="147">
        <f>COUNT(H60:H71)</f>
        <v>9</v>
      </c>
    </row>
    <row r="76" spans="1:8" ht="26.25" customHeight="1" x14ac:dyDescent="0.4">
      <c r="A76" s="60" t="s">
        <v>106</v>
      </c>
      <c r="B76" s="148" t="s">
        <v>107</v>
      </c>
      <c r="C76" s="439" t="str">
        <f>B26</f>
        <v xml:space="preserve">Tenofovir Disproxil Fumarate </v>
      </c>
      <c r="D76" s="439"/>
      <c r="E76" s="149" t="s">
        <v>108</v>
      </c>
      <c r="F76" s="149"/>
      <c r="G76" s="236">
        <f>H72</f>
        <v>96.899167718777832</v>
      </c>
      <c r="H76" s="151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73" t="str">
        <f>B26</f>
        <v xml:space="preserve">Tenofovir Disproxil Fumarate </v>
      </c>
      <c r="C79" s="473"/>
    </row>
    <row r="80" spans="1:8" ht="26.25" customHeight="1" x14ac:dyDescent="0.4">
      <c r="A80" s="61" t="s">
        <v>48</v>
      </c>
      <c r="B80" s="473" t="str">
        <f>B27</f>
        <v>T11-12</v>
      </c>
      <c r="C80" s="473"/>
    </row>
    <row r="81" spans="1:12" ht="27" customHeight="1" x14ac:dyDescent="0.4">
      <c r="A81" s="61" t="s">
        <v>6</v>
      </c>
      <c r="B81" s="152">
        <f>B28</f>
        <v>99.1</v>
      </c>
    </row>
    <row r="82" spans="1:12" s="3" customFormat="1" ht="27" customHeight="1" x14ac:dyDescent="0.4">
      <c r="A82" s="61" t="s">
        <v>49</v>
      </c>
      <c r="B82" s="63">
        <v>0</v>
      </c>
      <c r="C82" s="441" t="s">
        <v>50</v>
      </c>
      <c r="D82" s="442"/>
      <c r="E82" s="442"/>
      <c r="F82" s="442"/>
      <c r="G82" s="443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99.1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444" t="s">
        <v>111</v>
      </c>
      <c r="D84" s="445"/>
      <c r="E84" s="445"/>
      <c r="F84" s="445"/>
      <c r="G84" s="445"/>
      <c r="H84" s="446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444" t="s">
        <v>112</v>
      </c>
      <c r="D85" s="445"/>
      <c r="E85" s="445"/>
      <c r="F85" s="445"/>
      <c r="G85" s="445"/>
      <c r="H85" s="446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50</v>
      </c>
      <c r="D89" s="153" t="s">
        <v>59</v>
      </c>
      <c r="E89" s="154"/>
      <c r="F89" s="447" t="s">
        <v>60</v>
      </c>
      <c r="G89" s="448"/>
    </row>
    <row r="90" spans="1:12" ht="27" customHeight="1" x14ac:dyDescent="0.4">
      <c r="A90" s="76" t="s">
        <v>61</v>
      </c>
      <c r="B90" s="77">
        <v>1</v>
      </c>
      <c r="C90" s="155" t="s">
        <v>62</v>
      </c>
      <c r="D90" s="79" t="s">
        <v>63</v>
      </c>
      <c r="E90" s="80" t="s">
        <v>64</v>
      </c>
      <c r="F90" s="79" t="s">
        <v>63</v>
      </c>
      <c r="G90" s="156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7">
        <v>1</v>
      </c>
      <c r="D91" s="522">
        <v>3090191</v>
      </c>
      <c r="E91" s="84">
        <f>IF(ISBLANK(D91),"-",$D$101/$D$98*D91)</f>
        <v>3228007.5545332422</v>
      </c>
      <c r="F91" s="522">
        <v>3180622</v>
      </c>
      <c r="G91" s="85">
        <f>IF(ISBLANK(F91),"-",$D$101/$F$98*F91)</f>
        <v>3194599.4374051266</v>
      </c>
      <c r="I91" s="86"/>
    </row>
    <row r="92" spans="1:12" ht="26.25" customHeight="1" x14ac:dyDescent="0.4">
      <c r="A92" s="76" t="s">
        <v>67</v>
      </c>
      <c r="B92" s="77">
        <v>1</v>
      </c>
      <c r="C92" s="142">
        <v>2</v>
      </c>
      <c r="D92" s="523">
        <v>3097023</v>
      </c>
      <c r="E92" s="89">
        <f>IF(ISBLANK(D92),"-",$D$101/$D$98*D92)</f>
        <v>3235144.2485474865</v>
      </c>
      <c r="F92" s="523">
        <v>3186205</v>
      </c>
      <c r="G92" s="90">
        <f>IF(ISBLANK(F92),"-",$D$101/$F$98*F92)</f>
        <v>3200206.9722392042</v>
      </c>
      <c r="I92" s="449">
        <f>ABS((F96/D96*D95)-F95)/D95</f>
        <v>1.1307407281582242E-2</v>
      </c>
    </row>
    <row r="93" spans="1:12" ht="26.25" customHeight="1" x14ac:dyDescent="0.4">
      <c r="A93" s="76" t="s">
        <v>68</v>
      </c>
      <c r="B93" s="77">
        <v>1</v>
      </c>
      <c r="C93" s="142">
        <v>3</v>
      </c>
      <c r="D93" s="523">
        <v>3101371</v>
      </c>
      <c r="E93" s="89">
        <f>IF(ISBLANK(D93),"-",$D$101/$D$98*D93)</f>
        <v>3239686.1609558491</v>
      </c>
      <c r="F93" s="523">
        <v>3188528</v>
      </c>
      <c r="G93" s="90">
        <f>IF(ISBLANK(F93),"-",$D$101/$F$98*F93)</f>
        <v>3202540.1808044128</v>
      </c>
      <c r="I93" s="449"/>
    </row>
    <row r="94" spans="1:12" ht="27" customHeight="1" x14ac:dyDescent="0.4">
      <c r="A94" s="76" t="s">
        <v>69</v>
      </c>
      <c r="B94" s="77">
        <v>1</v>
      </c>
      <c r="C94" s="158">
        <v>4</v>
      </c>
      <c r="D94" s="93"/>
      <c r="E94" s="94" t="str">
        <f>IF(ISBLANK(D94),"-",$D$101/$D$98*D94)</f>
        <v>-</v>
      </c>
      <c r="F94" s="159"/>
      <c r="G94" s="95" t="str">
        <f>IF(ISBLANK(F94),"-",$D$101/$F$98*F94)</f>
        <v>-</v>
      </c>
      <c r="I94" s="96"/>
    </row>
    <row r="95" spans="1:12" ht="27" customHeight="1" x14ac:dyDescent="0.4">
      <c r="A95" s="76" t="s">
        <v>70</v>
      </c>
      <c r="B95" s="77">
        <v>1</v>
      </c>
      <c r="C95" s="160" t="s">
        <v>71</v>
      </c>
      <c r="D95" s="161">
        <f>AVERAGE(D91:D94)</f>
        <v>3096195</v>
      </c>
      <c r="E95" s="99">
        <f>AVERAGE(E91:E94)</f>
        <v>3234279.3213455253</v>
      </c>
      <c r="F95" s="162">
        <f>AVERAGE(F91:F94)</f>
        <v>3185118.3333333335</v>
      </c>
      <c r="G95" s="163">
        <f>AVERAGE(G91:G94)</f>
        <v>3199115.5301495814</v>
      </c>
    </row>
    <row r="96" spans="1:12" ht="26.25" customHeight="1" x14ac:dyDescent="0.4">
      <c r="A96" s="76" t="s">
        <v>72</v>
      </c>
      <c r="B96" s="62">
        <v>1</v>
      </c>
      <c r="C96" s="164" t="s">
        <v>113</v>
      </c>
      <c r="D96" s="165">
        <v>14.49</v>
      </c>
      <c r="E96" s="91"/>
      <c r="F96" s="103">
        <v>15.07</v>
      </c>
    </row>
    <row r="97" spans="1:10" ht="26.25" customHeight="1" x14ac:dyDescent="0.4">
      <c r="A97" s="76" t="s">
        <v>74</v>
      </c>
      <c r="B97" s="62">
        <v>1</v>
      </c>
      <c r="C97" s="166" t="s">
        <v>114</v>
      </c>
      <c r="D97" s="167">
        <f>D96*$B$87</f>
        <v>14.49</v>
      </c>
      <c r="E97" s="106"/>
      <c r="F97" s="105">
        <f>F96*$B$87</f>
        <v>15.07</v>
      </c>
    </row>
    <row r="98" spans="1:10" ht="19.5" customHeight="1" x14ac:dyDescent="0.3">
      <c r="A98" s="76" t="s">
        <v>76</v>
      </c>
      <c r="B98" s="168">
        <f>(B97/B96)*(B95/B94)*(B93/B92)*(B91/B90)*B89</f>
        <v>50</v>
      </c>
      <c r="C98" s="166" t="s">
        <v>115</v>
      </c>
      <c r="D98" s="169">
        <f>D97*$B$83/100</f>
        <v>14.359589999999999</v>
      </c>
      <c r="E98" s="109"/>
      <c r="F98" s="108">
        <f>F97*$B$83/100</f>
        <v>14.934369999999999</v>
      </c>
    </row>
    <row r="99" spans="1:10" ht="19.5" customHeight="1" x14ac:dyDescent="0.3">
      <c r="A99" s="435" t="s">
        <v>78</v>
      </c>
      <c r="B99" s="450"/>
      <c r="C99" s="166" t="s">
        <v>116</v>
      </c>
      <c r="D99" s="170">
        <f>D98/$B$98</f>
        <v>0.2871918</v>
      </c>
      <c r="E99" s="109"/>
      <c r="F99" s="112">
        <f>F98/$B$98</f>
        <v>0.29868739999999999</v>
      </c>
      <c r="G99" s="171"/>
      <c r="H99" s="101"/>
    </row>
    <row r="100" spans="1:10" ht="19.5" customHeight="1" x14ac:dyDescent="0.3">
      <c r="A100" s="437"/>
      <c r="B100" s="451"/>
      <c r="C100" s="166" t="s">
        <v>80</v>
      </c>
      <c r="D100" s="172">
        <f>$B$56/$B$116</f>
        <v>0.3</v>
      </c>
      <c r="F100" s="117"/>
      <c r="G100" s="173"/>
      <c r="H100" s="101"/>
    </row>
    <row r="101" spans="1:10" ht="18.75" x14ac:dyDescent="0.3">
      <c r="C101" s="166" t="s">
        <v>81</v>
      </c>
      <c r="D101" s="167">
        <f>D100*$B$98</f>
        <v>15</v>
      </c>
      <c r="F101" s="117"/>
      <c r="G101" s="171"/>
      <c r="H101" s="101"/>
    </row>
    <row r="102" spans="1:10" ht="19.5" customHeight="1" x14ac:dyDescent="0.3">
      <c r="C102" s="174" t="s">
        <v>82</v>
      </c>
      <c r="D102" s="175">
        <f>D101/B34</f>
        <v>15</v>
      </c>
      <c r="F102" s="121"/>
      <c r="G102" s="171"/>
      <c r="H102" s="101"/>
      <c r="J102" s="176"/>
    </row>
    <row r="103" spans="1:10" ht="18.75" x14ac:dyDescent="0.3">
      <c r="C103" s="177" t="s">
        <v>117</v>
      </c>
      <c r="D103" s="178">
        <f>AVERAGE(E91:E94,G91:G94)</f>
        <v>3216697.4257475534</v>
      </c>
      <c r="F103" s="121"/>
      <c r="G103" s="179"/>
      <c r="H103" s="101"/>
      <c r="J103" s="180"/>
    </row>
    <row r="104" spans="1:10" ht="18.75" x14ac:dyDescent="0.3">
      <c r="C104" s="144" t="s">
        <v>84</v>
      </c>
      <c r="D104" s="181">
        <f>STDEV(E91:E94,G91:G94)/D103</f>
        <v>6.1509365330027609E-3</v>
      </c>
      <c r="F104" s="121"/>
      <c r="G104" s="171"/>
      <c r="H104" s="101"/>
      <c r="J104" s="180"/>
    </row>
    <row r="105" spans="1:10" ht="19.5" customHeight="1" x14ac:dyDescent="0.3">
      <c r="C105" s="146" t="s">
        <v>20</v>
      </c>
      <c r="D105" s="182">
        <f>COUNT(E91:E94,G91:G94)</f>
        <v>6</v>
      </c>
      <c r="F105" s="121"/>
      <c r="G105" s="171"/>
      <c r="H105" s="101"/>
      <c r="J105" s="180"/>
    </row>
    <row r="106" spans="1:10" ht="19.5" customHeight="1" x14ac:dyDescent="0.3">
      <c r="A106" s="125"/>
      <c r="B106" s="125"/>
      <c r="C106" s="125"/>
      <c r="D106" s="125"/>
      <c r="E106" s="125"/>
    </row>
    <row r="107" spans="1:10" ht="27" customHeight="1" x14ac:dyDescent="0.4">
      <c r="A107" s="74" t="s">
        <v>118</v>
      </c>
      <c r="B107" s="75">
        <v>1000</v>
      </c>
      <c r="C107" s="221" t="s">
        <v>119</v>
      </c>
      <c r="D107" s="221" t="s">
        <v>63</v>
      </c>
      <c r="E107" s="221" t="s">
        <v>120</v>
      </c>
      <c r="F107" s="183" t="s">
        <v>121</v>
      </c>
    </row>
    <row r="108" spans="1:10" ht="26.25" customHeight="1" x14ac:dyDescent="0.4">
      <c r="A108" s="76" t="s">
        <v>122</v>
      </c>
      <c r="B108" s="77">
        <v>1</v>
      </c>
      <c r="C108" s="226">
        <v>1</v>
      </c>
      <c r="D108" s="227">
        <v>3188400</v>
      </c>
      <c r="E108" s="201">
        <f t="shared" ref="E108:E113" si="1">IF(ISBLANK(D108),"-",D108/$D$103*$D$100*$B$116)</f>
        <v>297.3608870836544</v>
      </c>
      <c r="F108" s="228">
        <f t="shared" ref="F108:F113" si="2">IF(ISBLANK(D108), "-", (E108/$B$56)*100)</f>
        <v>99.120295694551459</v>
      </c>
    </row>
    <row r="109" spans="1:10" ht="26.25" customHeight="1" x14ac:dyDescent="0.4">
      <c r="A109" s="76" t="s">
        <v>95</v>
      </c>
      <c r="B109" s="77">
        <v>1</v>
      </c>
      <c r="C109" s="222">
        <v>2</v>
      </c>
      <c r="D109" s="224">
        <v>3144527</v>
      </c>
      <c r="E109" s="202">
        <f t="shared" si="1"/>
        <v>293.26914382715546</v>
      </c>
      <c r="F109" s="229">
        <f t="shared" si="2"/>
        <v>97.756381275718482</v>
      </c>
    </row>
    <row r="110" spans="1:10" ht="26.25" customHeight="1" x14ac:dyDescent="0.4">
      <c r="A110" s="76" t="s">
        <v>96</v>
      </c>
      <c r="B110" s="77">
        <v>1</v>
      </c>
      <c r="C110" s="222">
        <v>3</v>
      </c>
      <c r="D110" s="224">
        <v>3198015</v>
      </c>
      <c r="E110" s="202">
        <f t="shared" si="1"/>
        <v>298.25761426007807</v>
      </c>
      <c r="F110" s="229">
        <f t="shared" si="2"/>
        <v>99.419204753359352</v>
      </c>
    </row>
    <row r="111" spans="1:10" ht="26.25" customHeight="1" x14ac:dyDescent="0.4">
      <c r="A111" s="76" t="s">
        <v>97</v>
      </c>
      <c r="B111" s="77">
        <v>1</v>
      </c>
      <c r="C111" s="222">
        <v>4</v>
      </c>
      <c r="D111" s="224">
        <v>3218075</v>
      </c>
      <c r="E111" s="202">
        <f t="shared" si="1"/>
        <v>300.12847719913782</v>
      </c>
      <c r="F111" s="229">
        <f t="shared" si="2"/>
        <v>100.04282573304594</v>
      </c>
    </row>
    <row r="112" spans="1:10" ht="26.25" customHeight="1" x14ac:dyDescent="0.4">
      <c r="A112" s="76" t="s">
        <v>98</v>
      </c>
      <c r="B112" s="77">
        <v>1</v>
      </c>
      <c r="C112" s="222">
        <v>5</v>
      </c>
      <c r="D112" s="224">
        <v>3153493</v>
      </c>
      <c r="E112" s="202">
        <f t="shared" si="1"/>
        <v>294.10534308496256</v>
      </c>
      <c r="F112" s="229">
        <f t="shared" si="2"/>
        <v>98.03511436165418</v>
      </c>
    </row>
    <row r="113" spans="1:10" ht="27" customHeight="1" x14ac:dyDescent="0.4">
      <c r="A113" s="76" t="s">
        <v>100</v>
      </c>
      <c r="B113" s="77">
        <v>1</v>
      </c>
      <c r="C113" s="223">
        <v>6</v>
      </c>
      <c r="D113" s="225">
        <v>3242604</v>
      </c>
      <c r="E113" s="203">
        <f t="shared" si="1"/>
        <v>302.41613408010477</v>
      </c>
      <c r="F113" s="230">
        <f t="shared" si="2"/>
        <v>100.8053780267016</v>
      </c>
    </row>
    <row r="114" spans="1:10" ht="27" customHeight="1" x14ac:dyDescent="0.4">
      <c r="A114" s="76" t="s">
        <v>101</v>
      </c>
      <c r="B114" s="77">
        <v>1</v>
      </c>
      <c r="C114" s="184"/>
      <c r="D114" s="142"/>
      <c r="E114" s="50"/>
      <c r="F114" s="231"/>
    </row>
    <row r="115" spans="1:10" ht="26.25" customHeight="1" x14ac:dyDescent="0.4">
      <c r="A115" s="76" t="s">
        <v>102</v>
      </c>
      <c r="B115" s="77">
        <v>1</v>
      </c>
      <c r="C115" s="184"/>
      <c r="D115" s="208" t="s">
        <v>71</v>
      </c>
      <c r="E115" s="210">
        <f>AVERAGE(E108:E113)</f>
        <v>297.58959992251545</v>
      </c>
      <c r="F115" s="232">
        <f>AVERAGE(F108:F113)</f>
        <v>99.196533307505163</v>
      </c>
    </row>
    <row r="116" spans="1:10" ht="27" customHeight="1" x14ac:dyDescent="0.4">
      <c r="A116" s="76" t="s">
        <v>103</v>
      </c>
      <c r="B116" s="107">
        <f>(B115/B114)*(B113/B112)*(B111/B110)*(B109/B108)*B107</f>
        <v>1000</v>
      </c>
      <c r="C116" s="185"/>
      <c r="D116" s="209" t="s">
        <v>84</v>
      </c>
      <c r="E116" s="207">
        <f>STDEV(E108:E113)/E115</f>
        <v>1.1741587305475986E-2</v>
      </c>
      <c r="F116" s="186">
        <f>STDEV(F108:F113)/F115</f>
        <v>1.174158730547605E-2</v>
      </c>
      <c r="I116" s="50"/>
    </row>
    <row r="117" spans="1:10" ht="27" customHeight="1" x14ac:dyDescent="0.4">
      <c r="A117" s="435" t="s">
        <v>78</v>
      </c>
      <c r="B117" s="436"/>
      <c r="C117" s="187"/>
      <c r="D117" s="146" t="s">
        <v>20</v>
      </c>
      <c r="E117" s="212">
        <f>COUNT(E108:E113)</f>
        <v>6</v>
      </c>
      <c r="F117" s="213">
        <f>COUNT(F108:F113)</f>
        <v>6</v>
      </c>
      <c r="I117" s="50"/>
      <c r="J117" s="180"/>
    </row>
    <row r="118" spans="1:10" ht="26.25" customHeight="1" x14ac:dyDescent="0.3">
      <c r="A118" s="437"/>
      <c r="B118" s="438"/>
      <c r="C118" s="50"/>
      <c r="D118" s="211"/>
      <c r="E118" s="463" t="s">
        <v>123</v>
      </c>
      <c r="F118" s="464"/>
      <c r="G118" s="50"/>
      <c r="H118" s="50"/>
      <c r="I118" s="50"/>
    </row>
    <row r="119" spans="1:10" ht="25.5" customHeight="1" x14ac:dyDescent="0.4">
      <c r="A119" s="196"/>
      <c r="B119" s="72"/>
      <c r="C119" s="50"/>
      <c r="D119" s="209" t="s">
        <v>124</v>
      </c>
      <c r="E119" s="214">
        <f>MIN(E108:E113)</f>
        <v>293.26914382715546</v>
      </c>
      <c r="F119" s="233">
        <f>MIN(F108:F113)</f>
        <v>97.756381275718482</v>
      </c>
      <c r="G119" s="50"/>
      <c r="H119" s="50"/>
      <c r="I119" s="50"/>
    </row>
    <row r="120" spans="1:10" ht="24" customHeight="1" x14ac:dyDescent="0.4">
      <c r="A120" s="196"/>
      <c r="B120" s="72"/>
      <c r="C120" s="50"/>
      <c r="D120" s="118" t="s">
        <v>125</v>
      </c>
      <c r="E120" s="215">
        <f>MAX(E108:E113)</f>
        <v>302.41613408010477</v>
      </c>
      <c r="F120" s="234">
        <f>MAX(F108:F113)</f>
        <v>100.8053780267016</v>
      </c>
      <c r="G120" s="50"/>
      <c r="H120" s="50"/>
      <c r="I120" s="50"/>
    </row>
    <row r="121" spans="1:10" ht="27" customHeight="1" x14ac:dyDescent="0.3">
      <c r="A121" s="196"/>
      <c r="B121" s="72"/>
      <c r="C121" s="50"/>
      <c r="D121" s="50"/>
      <c r="E121" s="50"/>
      <c r="F121" s="142"/>
      <c r="G121" s="50"/>
      <c r="H121" s="50"/>
      <c r="I121" s="50"/>
    </row>
    <row r="122" spans="1:10" ht="25.5" customHeight="1" x14ac:dyDescent="0.3">
      <c r="A122" s="196"/>
      <c r="B122" s="72"/>
      <c r="C122" s="50"/>
      <c r="D122" s="50"/>
      <c r="E122" s="50"/>
      <c r="F122" s="142"/>
      <c r="G122" s="50"/>
      <c r="H122" s="50"/>
      <c r="I122" s="50"/>
    </row>
    <row r="123" spans="1:10" ht="18.75" x14ac:dyDescent="0.3">
      <c r="A123" s="196"/>
      <c r="B123" s="72"/>
      <c r="C123" s="50"/>
      <c r="D123" s="50"/>
      <c r="E123" s="50"/>
      <c r="F123" s="142"/>
      <c r="G123" s="50"/>
      <c r="H123" s="50"/>
      <c r="I123" s="50"/>
    </row>
    <row r="124" spans="1:10" ht="45.75" customHeight="1" x14ac:dyDescent="0.65">
      <c r="A124" s="60" t="s">
        <v>106</v>
      </c>
      <c r="B124" s="148" t="s">
        <v>126</v>
      </c>
      <c r="C124" s="439" t="str">
        <f>B26</f>
        <v xml:space="preserve">Tenofovir Disproxil Fumarate </v>
      </c>
      <c r="D124" s="439"/>
      <c r="E124" s="149" t="s">
        <v>127</v>
      </c>
      <c r="F124" s="149"/>
      <c r="G124" s="235">
        <f>F115</f>
        <v>99.196533307505163</v>
      </c>
      <c r="H124" s="50"/>
      <c r="I124" s="50"/>
    </row>
    <row r="125" spans="1:10" ht="45.75" customHeight="1" x14ac:dyDescent="0.65">
      <c r="A125" s="60"/>
      <c r="B125" s="148" t="s">
        <v>128</v>
      </c>
      <c r="C125" s="61" t="s">
        <v>129</v>
      </c>
      <c r="D125" s="235">
        <f>MIN(F108:F113)</f>
        <v>97.756381275718482</v>
      </c>
      <c r="E125" s="160" t="s">
        <v>130</v>
      </c>
      <c r="F125" s="235">
        <f>MAX(F108:F113)</f>
        <v>100.8053780267016</v>
      </c>
      <c r="G125" s="150"/>
      <c r="H125" s="50"/>
      <c r="I125" s="50"/>
    </row>
    <row r="126" spans="1:10" ht="19.5" customHeight="1" x14ac:dyDescent="0.3">
      <c r="A126" s="188"/>
      <c r="B126" s="188"/>
      <c r="C126" s="189"/>
      <c r="D126" s="189"/>
      <c r="E126" s="189"/>
      <c r="F126" s="189"/>
      <c r="G126" s="189"/>
      <c r="H126" s="189"/>
    </row>
    <row r="127" spans="1:10" ht="18.75" x14ac:dyDescent="0.3">
      <c r="B127" s="440" t="s">
        <v>26</v>
      </c>
      <c r="C127" s="440"/>
      <c r="E127" s="155" t="s">
        <v>27</v>
      </c>
      <c r="F127" s="190"/>
      <c r="G127" s="440" t="s">
        <v>28</v>
      </c>
      <c r="H127" s="440"/>
    </row>
    <row r="128" spans="1:10" ht="69.95" customHeight="1" x14ac:dyDescent="0.3">
      <c r="A128" s="191" t="s">
        <v>29</v>
      </c>
      <c r="B128" s="192"/>
      <c r="C128" s="192"/>
      <c r="E128" s="192"/>
      <c r="F128" s="50"/>
      <c r="G128" s="193"/>
      <c r="H128" s="193"/>
    </row>
    <row r="129" spans="1:9" ht="69.95" customHeight="1" x14ac:dyDescent="0.3">
      <c r="A129" s="191" t="s">
        <v>30</v>
      </c>
      <c r="B129" s="194"/>
      <c r="C129" s="194"/>
      <c r="E129" s="194"/>
      <c r="F129" s="50"/>
      <c r="G129" s="195"/>
      <c r="H129" s="195"/>
    </row>
    <row r="130" spans="1:9" ht="18.75" x14ac:dyDescent="0.3">
      <c r="A130" s="141"/>
      <c r="B130" s="141"/>
      <c r="C130" s="142"/>
      <c r="D130" s="142"/>
      <c r="E130" s="142"/>
      <c r="F130" s="145"/>
      <c r="G130" s="142"/>
      <c r="H130" s="142"/>
      <c r="I130" s="50"/>
    </row>
    <row r="131" spans="1:9" ht="18.75" x14ac:dyDescent="0.3">
      <c r="A131" s="141"/>
      <c r="B131" s="141"/>
      <c r="C131" s="142"/>
      <c r="D131" s="142"/>
      <c r="E131" s="142"/>
      <c r="F131" s="145"/>
      <c r="G131" s="142"/>
      <c r="H131" s="142"/>
      <c r="I131" s="50"/>
    </row>
    <row r="132" spans="1:9" ht="18.75" x14ac:dyDescent="0.3">
      <c r="A132" s="141"/>
      <c r="B132" s="141"/>
      <c r="C132" s="142"/>
      <c r="D132" s="142"/>
      <c r="E132" s="142"/>
      <c r="F132" s="145"/>
      <c r="G132" s="142"/>
      <c r="H132" s="142"/>
      <c r="I132" s="50"/>
    </row>
    <row r="133" spans="1:9" ht="18.75" x14ac:dyDescent="0.3">
      <c r="A133" s="141"/>
      <c r="B133" s="141"/>
      <c r="C133" s="142"/>
      <c r="D133" s="142"/>
      <c r="E133" s="142"/>
      <c r="F133" s="145"/>
      <c r="G133" s="142"/>
      <c r="H133" s="142"/>
      <c r="I133" s="50"/>
    </row>
    <row r="134" spans="1:9" ht="18.75" x14ac:dyDescent="0.3">
      <c r="A134" s="141"/>
      <c r="B134" s="141"/>
      <c r="C134" s="142"/>
      <c r="D134" s="142"/>
      <c r="E134" s="142"/>
      <c r="F134" s="145"/>
      <c r="G134" s="142"/>
      <c r="H134" s="142"/>
      <c r="I134" s="50"/>
    </row>
    <row r="135" spans="1:9" ht="18.75" x14ac:dyDescent="0.3">
      <c r="A135" s="141"/>
      <c r="B135" s="141"/>
      <c r="C135" s="142"/>
      <c r="D135" s="142"/>
      <c r="E135" s="142"/>
      <c r="F135" s="145"/>
      <c r="G135" s="142"/>
      <c r="H135" s="142"/>
      <c r="I135" s="50"/>
    </row>
    <row r="136" spans="1:9" ht="18.75" x14ac:dyDescent="0.3">
      <c r="A136" s="141"/>
      <c r="B136" s="141"/>
      <c r="C136" s="142"/>
      <c r="D136" s="142"/>
      <c r="E136" s="142"/>
      <c r="F136" s="145"/>
      <c r="G136" s="142"/>
      <c r="H136" s="142"/>
      <c r="I136" s="50"/>
    </row>
    <row r="137" spans="1:9" ht="18.75" x14ac:dyDescent="0.3">
      <c r="A137" s="141"/>
      <c r="B137" s="141"/>
      <c r="C137" s="142"/>
      <c r="D137" s="142"/>
      <c r="E137" s="142"/>
      <c r="F137" s="145"/>
      <c r="G137" s="142"/>
      <c r="H137" s="142"/>
      <c r="I137" s="50"/>
    </row>
    <row r="138" spans="1:9" ht="18.75" x14ac:dyDescent="0.3">
      <c r="A138" s="141"/>
      <c r="B138" s="141"/>
      <c r="C138" s="142"/>
      <c r="D138" s="142"/>
      <c r="E138" s="142"/>
      <c r="F138" s="145"/>
      <c r="G138" s="142"/>
      <c r="H138" s="142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7" zoomScale="50" zoomScaleNormal="40" zoomScalePageLayoutView="50" workbookViewId="0">
      <selection sqref="A1:I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33" t="s">
        <v>45</v>
      </c>
      <c r="B1" s="433"/>
      <c r="C1" s="433"/>
      <c r="D1" s="433"/>
      <c r="E1" s="433"/>
      <c r="F1" s="433"/>
      <c r="G1" s="433"/>
      <c r="H1" s="433"/>
      <c r="I1" s="433"/>
    </row>
    <row r="2" spans="1:9" ht="18.75" customHeight="1" x14ac:dyDescent="0.25">
      <c r="A2" s="433"/>
      <c r="B2" s="433"/>
      <c r="C2" s="433"/>
      <c r="D2" s="433"/>
      <c r="E2" s="433"/>
      <c r="F2" s="433"/>
      <c r="G2" s="433"/>
      <c r="H2" s="433"/>
      <c r="I2" s="433"/>
    </row>
    <row r="3" spans="1:9" ht="18.75" customHeight="1" x14ac:dyDescent="0.25">
      <c r="A3" s="433"/>
      <c r="B3" s="433"/>
      <c r="C3" s="433"/>
      <c r="D3" s="433"/>
      <c r="E3" s="433"/>
      <c r="F3" s="433"/>
      <c r="G3" s="433"/>
      <c r="H3" s="433"/>
      <c r="I3" s="433"/>
    </row>
    <row r="4" spans="1:9" ht="18.75" customHeight="1" x14ac:dyDescent="0.25">
      <c r="A4" s="433"/>
      <c r="B4" s="433"/>
      <c r="C4" s="433"/>
      <c r="D4" s="433"/>
      <c r="E4" s="433"/>
      <c r="F4" s="433"/>
      <c r="G4" s="433"/>
      <c r="H4" s="433"/>
      <c r="I4" s="433"/>
    </row>
    <row r="5" spans="1:9" ht="18.75" customHeight="1" x14ac:dyDescent="0.25">
      <c r="A5" s="433"/>
      <c r="B5" s="433"/>
      <c r="C5" s="433"/>
      <c r="D5" s="433"/>
      <c r="E5" s="433"/>
      <c r="F5" s="433"/>
      <c r="G5" s="433"/>
      <c r="H5" s="433"/>
      <c r="I5" s="433"/>
    </row>
    <row r="6" spans="1:9" ht="18.75" customHeight="1" x14ac:dyDescent="0.25">
      <c r="A6" s="433"/>
      <c r="B6" s="433"/>
      <c r="C6" s="433"/>
      <c r="D6" s="433"/>
      <c r="E6" s="433"/>
      <c r="F6" s="433"/>
      <c r="G6" s="433"/>
      <c r="H6" s="433"/>
      <c r="I6" s="433"/>
    </row>
    <row r="7" spans="1:9" ht="18.75" customHeight="1" x14ac:dyDescent="0.25">
      <c r="A7" s="433"/>
      <c r="B7" s="433"/>
      <c r="C7" s="433"/>
      <c r="D7" s="433"/>
      <c r="E7" s="433"/>
      <c r="F7" s="433"/>
      <c r="G7" s="433"/>
      <c r="H7" s="433"/>
      <c r="I7" s="433"/>
    </row>
    <row r="8" spans="1:9" x14ac:dyDescent="0.25">
      <c r="A8" s="434" t="s">
        <v>46</v>
      </c>
      <c r="B8" s="434"/>
      <c r="C8" s="434"/>
      <c r="D8" s="434"/>
      <c r="E8" s="434"/>
      <c r="F8" s="434"/>
      <c r="G8" s="434"/>
      <c r="H8" s="434"/>
      <c r="I8" s="434"/>
    </row>
    <row r="9" spans="1:9" x14ac:dyDescent="0.25">
      <c r="A9" s="434"/>
      <c r="B9" s="434"/>
      <c r="C9" s="434"/>
      <c r="D9" s="434"/>
      <c r="E9" s="434"/>
      <c r="F9" s="434"/>
      <c r="G9" s="434"/>
      <c r="H9" s="434"/>
      <c r="I9" s="434"/>
    </row>
    <row r="10" spans="1:9" x14ac:dyDescent="0.25">
      <c r="A10" s="434"/>
      <c r="B10" s="434"/>
      <c r="C10" s="434"/>
      <c r="D10" s="434"/>
      <c r="E10" s="434"/>
      <c r="F10" s="434"/>
      <c r="G10" s="434"/>
      <c r="H10" s="434"/>
      <c r="I10" s="434"/>
    </row>
    <row r="11" spans="1:9" x14ac:dyDescent="0.25">
      <c r="A11" s="434"/>
      <c r="B11" s="434"/>
      <c r="C11" s="434"/>
      <c r="D11" s="434"/>
      <c r="E11" s="434"/>
      <c r="F11" s="434"/>
      <c r="G11" s="434"/>
      <c r="H11" s="434"/>
      <c r="I11" s="434"/>
    </row>
    <row r="12" spans="1:9" x14ac:dyDescent="0.25">
      <c r="A12" s="434"/>
      <c r="B12" s="434"/>
      <c r="C12" s="434"/>
      <c r="D12" s="434"/>
      <c r="E12" s="434"/>
      <c r="F12" s="434"/>
      <c r="G12" s="434"/>
      <c r="H12" s="434"/>
      <c r="I12" s="434"/>
    </row>
    <row r="13" spans="1:9" x14ac:dyDescent="0.25">
      <c r="A13" s="434"/>
      <c r="B13" s="434"/>
      <c r="C13" s="434"/>
      <c r="D13" s="434"/>
      <c r="E13" s="434"/>
      <c r="F13" s="434"/>
      <c r="G13" s="434"/>
      <c r="H13" s="434"/>
      <c r="I13" s="434"/>
    </row>
    <row r="14" spans="1:9" x14ac:dyDescent="0.25">
      <c r="A14" s="434"/>
      <c r="B14" s="434"/>
      <c r="C14" s="434"/>
      <c r="D14" s="434"/>
      <c r="E14" s="434"/>
      <c r="F14" s="434"/>
      <c r="G14" s="434"/>
      <c r="H14" s="434"/>
      <c r="I14" s="434"/>
    </row>
    <row r="15" spans="1:9" ht="19.5" customHeight="1" x14ac:dyDescent="0.3">
      <c r="A15" s="237"/>
    </row>
    <row r="16" spans="1:9" ht="19.5" customHeight="1" x14ac:dyDescent="0.3">
      <c r="A16" s="466" t="s">
        <v>31</v>
      </c>
      <c r="B16" s="467"/>
      <c r="C16" s="467"/>
      <c r="D16" s="467"/>
      <c r="E16" s="467"/>
      <c r="F16" s="467"/>
      <c r="G16" s="467"/>
      <c r="H16" s="468"/>
    </row>
    <row r="17" spans="1:14" ht="20.25" customHeight="1" x14ac:dyDescent="0.25">
      <c r="A17" s="469" t="s">
        <v>47</v>
      </c>
      <c r="B17" s="469"/>
      <c r="C17" s="469"/>
      <c r="D17" s="469"/>
      <c r="E17" s="469"/>
      <c r="F17" s="469"/>
      <c r="G17" s="469"/>
      <c r="H17" s="469"/>
    </row>
    <row r="18" spans="1:14" ht="26.25" customHeight="1" x14ac:dyDescent="0.4">
      <c r="A18" s="239" t="s">
        <v>33</v>
      </c>
      <c r="B18" s="470" t="s">
        <v>5</v>
      </c>
      <c r="C18" s="470"/>
      <c r="D18" s="385"/>
      <c r="E18" s="240"/>
      <c r="F18" s="241"/>
      <c r="G18" s="241"/>
      <c r="H18" s="241"/>
    </row>
    <row r="19" spans="1:14" ht="26.25" customHeight="1" x14ac:dyDescent="0.4">
      <c r="A19" s="239" t="s">
        <v>34</v>
      </c>
      <c r="B19" s="242" t="s">
        <v>7</v>
      </c>
      <c r="C19" s="394">
        <v>1</v>
      </c>
      <c r="D19" s="241"/>
      <c r="E19" s="241"/>
      <c r="F19" s="241"/>
      <c r="G19" s="241"/>
      <c r="H19" s="241"/>
    </row>
    <row r="20" spans="1:14" ht="26.25" customHeight="1" x14ac:dyDescent="0.4">
      <c r="A20" s="239" t="s">
        <v>35</v>
      </c>
      <c r="B20" s="465" t="s">
        <v>133</v>
      </c>
      <c r="C20" s="465"/>
      <c r="D20" s="241"/>
      <c r="E20" s="241"/>
      <c r="F20" s="241"/>
      <c r="G20" s="241"/>
      <c r="H20" s="241"/>
    </row>
    <row r="21" spans="1:14" ht="26.25" customHeight="1" x14ac:dyDescent="0.4">
      <c r="A21" s="239" t="s">
        <v>36</v>
      </c>
      <c r="B21" s="465" t="s">
        <v>11</v>
      </c>
      <c r="C21" s="465"/>
      <c r="D21" s="465"/>
      <c r="E21" s="465"/>
      <c r="F21" s="465"/>
      <c r="G21" s="465"/>
      <c r="H21" s="465"/>
      <c r="I21" s="243"/>
    </row>
    <row r="22" spans="1:14" ht="26.25" customHeight="1" x14ac:dyDescent="0.4">
      <c r="A22" s="239" t="s">
        <v>37</v>
      </c>
      <c r="B22" s="521">
        <v>43291</v>
      </c>
      <c r="C22" s="241"/>
      <c r="D22" s="241"/>
      <c r="E22" s="241"/>
      <c r="F22" s="241"/>
      <c r="G22" s="241"/>
      <c r="H22" s="241"/>
    </row>
    <row r="23" spans="1:14" ht="26.25" customHeight="1" x14ac:dyDescent="0.4">
      <c r="A23" s="239" t="s">
        <v>38</v>
      </c>
      <c r="B23" s="521">
        <v>43306</v>
      </c>
      <c r="C23" s="241"/>
      <c r="D23" s="241"/>
      <c r="E23" s="241"/>
      <c r="F23" s="241"/>
      <c r="G23" s="241"/>
      <c r="H23" s="241"/>
    </row>
    <row r="24" spans="1:14" ht="18.75" x14ac:dyDescent="0.3">
      <c r="A24" s="239"/>
      <c r="B24" s="245"/>
    </row>
    <row r="25" spans="1:14" ht="18.75" x14ac:dyDescent="0.3">
      <c r="A25" s="246" t="s">
        <v>1</v>
      </c>
      <c r="B25" s="245"/>
    </row>
    <row r="26" spans="1:14" ht="26.25" customHeight="1" x14ac:dyDescent="0.4">
      <c r="A26" s="247" t="s">
        <v>4</v>
      </c>
      <c r="B26" s="465" t="s">
        <v>133</v>
      </c>
      <c r="C26" s="465"/>
    </row>
    <row r="27" spans="1:14" ht="26.25" customHeight="1" x14ac:dyDescent="0.4">
      <c r="A27" s="248" t="s">
        <v>48</v>
      </c>
      <c r="B27" s="471" t="s">
        <v>134</v>
      </c>
      <c r="C27" s="471"/>
    </row>
    <row r="28" spans="1:14" ht="27" customHeight="1" x14ac:dyDescent="0.4">
      <c r="A28" s="248" t="s">
        <v>6</v>
      </c>
      <c r="B28" s="249">
        <v>98.9</v>
      </c>
    </row>
    <row r="29" spans="1:14" s="3" customFormat="1" ht="27" customHeight="1" x14ac:dyDescent="0.4">
      <c r="A29" s="248" t="s">
        <v>49</v>
      </c>
      <c r="B29" s="250">
        <v>0</v>
      </c>
      <c r="C29" s="441" t="s">
        <v>50</v>
      </c>
      <c r="D29" s="442"/>
      <c r="E29" s="442"/>
      <c r="F29" s="442"/>
      <c r="G29" s="443"/>
      <c r="I29" s="251"/>
      <c r="J29" s="251"/>
      <c r="K29" s="251"/>
      <c r="L29" s="251"/>
    </row>
    <row r="30" spans="1:14" s="3" customFormat="1" ht="19.5" customHeight="1" x14ac:dyDescent="0.3">
      <c r="A30" s="248" t="s">
        <v>51</v>
      </c>
      <c r="B30" s="252">
        <f>B28-B29</f>
        <v>98.9</v>
      </c>
      <c r="C30" s="253"/>
      <c r="D30" s="253"/>
      <c r="E30" s="253"/>
      <c r="F30" s="253"/>
      <c r="G30" s="254"/>
      <c r="I30" s="251"/>
      <c r="J30" s="251"/>
      <c r="K30" s="251"/>
      <c r="L30" s="251"/>
    </row>
    <row r="31" spans="1:14" s="3" customFormat="1" ht="27" customHeight="1" x14ac:dyDescent="0.4">
      <c r="A31" s="248" t="s">
        <v>52</v>
      </c>
      <c r="B31" s="255">
        <v>1</v>
      </c>
      <c r="C31" s="444" t="s">
        <v>53</v>
      </c>
      <c r="D31" s="445"/>
      <c r="E31" s="445"/>
      <c r="F31" s="445"/>
      <c r="G31" s="445"/>
      <c r="H31" s="446"/>
      <c r="I31" s="251"/>
      <c r="J31" s="251"/>
      <c r="K31" s="251"/>
      <c r="L31" s="251"/>
    </row>
    <row r="32" spans="1:14" s="3" customFormat="1" ht="27" customHeight="1" x14ac:dyDescent="0.4">
      <c r="A32" s="248" t="s">
        <v>54</v>
      </c>
      <c r="B32" s="255">
        <v>1</v>
      </c>
      <c r="C32" s="444" t="s">
        <v>55</v>
      </c>
      <c r="D32" s="445"/>
      <c r="E32" s="445"/>
      <c r="F32" s="445"/>
      <c r="G32" s="445"/>
      <c r="H32" s="446"/>
      <c r="I32" s="251"/>
      <c r="J32" s="251"/>
      <c r="K32" s="251"/>
      <c r="L32" s="256"/>
      <c r="M32" s="256"/>
      <c r="N32" s="257"/>
    </row>
    <row r="33" spans="1:14" s="3" customFormat="1" ht="17.25" customHeight="1" x14ac:dyDescent="0.3">
      <c r="A33" s="248"/>
      <c r="B33" s="258"/>
      <c r="C33" s="259"/>
      <c r="D33" s="259"/>
      <c r="E33" s="259"/>
      <c r="F33" s="259"/>
      <c r="G33" s="259"/>
      <c r="H33" s="259"/>
      <c r="I33" s="251"/>
      <c r="J33" s="251"/>
      <c r="K33" s="251"/>
      <c r="L33" s="256"/>
      <c r="M33" s="256"/>
      <c r="N33" s="257"/>
    </row>
    <row r="34" spans="1:14" s="3" customFormat="1" ht="18.75" x14ac:dyDescent="0.3">
      <c r="A34" s="248" t="s">
        <v>56</v>
      </c>
      <c r="B34" s="260">
        <f>B31/B32</f>
        <v>1</v>
      </c>
      <c r="C34" s="238" t="s">
        <v>57</v>
      </c>
      <c r="D34" s="238"/>
      <c r="E34" s="238"/>
      <c r="F34" s="238"/>
      <c r="G34" s="238"/>
      <c r="I34" s="251"/>
      <c r="J34" s="251"/>
      <c r="K34" s="251"/>
      <c r="L34" s="256"/>
      <c r="M34" s="256"/>
      <c r="N34" s="257"/>
    </row>
    <row r="35" spans="1:14" s="3" customFormat="1" ht="19.5" customHeight="1" x14ac:dyDescent="0.3">
      <c r="A35" s="248"/>
      <c r="B35" s="252"/>
      <c r="G35" s="238"/>
      <c r="I35" s="251"/>
      <c r="J35" s="251"/>
      <c r="K35" s="251"/>
      <c r="L35" s="256"/>
      <c r="M35" s="256"/>
      <c r="N35" s="257"/>
    </row>
    <row r="36" spans="1:14" s="3" customFormat="1" ht="27" customHeight="1" x14ac:dyDescent="0.4">
      <c r="A36" s="261" t="s">
        <v>58</v>
      </c>
      <c r="B36" s="262">
        <v>50</v>
      </c>
      <c r="C36" s="238"/>
      <c r="D36" s="447" t="s">
        <v>59</v>
      </c>
      <c r="E36" s="472"/>
      <c r="F36" s="447" t="s">
        <v>60</v>
      </c>
      <c r="G36" s="448"/>
      <c r="J36" s="251"/>
      <c r="K36" s="251"/>
      <c r="L36" s="256"/>
      <c r="M36" s="256"/>
      <c r="N36" s="257"/>
    </row>
    <row r="37" spans="1:14" s="3" customFormat="1" ht="27" customHeight="1" x14ac:dyDescent="0.4">
      <c r="A37" s="263" t="s">
        <v>61</v>
      </c>
      <c r="B37" s="264">
        <v>10</v>
      </c>
      <c r="C37" s="265" t="s">
        <v>62</v>
      </c>
      <c r="D37" s="266" t="s">
        <v>63</v>
      </c>
      <c r="E37" s="267" t="s">
        <v>64</v>
      </c>
      <c r="F37" s="266" t="s">
        <v>63</v>
      </c>
      <c r="G37" s="268" t="s">
        <v>64</v>
      </c>
      <c r="I37" s="269" t="s">
        <v>65</v>
      </c>
      <c r="J37" s="251"/>
      <c r="K37" s="251"/>
      <c r="L37" s="256"/>
      <c r="M37" s="256"/>
      <c r="N37" s="257"/>
    </row>
    <row r="38" spans="1:14" s="3" customFormat="1" ht="26.25" customHeight="1" x14ac:dyDescent="0.4">
      <c r="A38" s="263" t="s">
        <v>66</v>
      </c>
      <c r="B38" s="264">
        <v>25</v>
      </c>
      <c r="C38" s="270">
        <v>1</v>
      </c>
      <c r="D38" s="271">
        <v>2993052</v>
      </c>
      <c r="E38" s="272">
        <f>IF(ISBLANK(D38),"-",$D$48/$D$45*D38)</f>
        <v>2784977.0791590931</v>
      </c>
      <c r="F38" s="271">
        <v>2828443</v>
      </c>
      <c r="G38" s="273">
        <f>IF(ISBLANK(F38),"-",$D$48/$F$45*F38)</f>
        <v>2850400.5858463026</v>
      </c>
      <c r="I38" s="274"/>
      <c r="J38" s="251"/>
      <c r="K38" s="251"/>
      <c r="L38" s="256"/>
      <c r="M38" s="256"/>
      <c r="N38" s="257"/>
    </row>
    <row r="39" spans="1:14" s="3" customFormat="1" ht="26.25" customHeight="1" x14ac:dyDescent="0.4">
      <c r="A39" s="263" t="s">
        <v>67</v>
      </c>
      <c r="B39" s="264">
        <v>1</v>
      </c>
      <c r="C39" s="275">
        <v>2</v>
      </c>
      <c r="D39" s="276">
        <v>3011013</v>
      </c>
      <c r="E39" s="277">
        <f>IF(ISBLANK(D39),"-",$D$48/$D$45*D39)</f>
        <v>2801689.4427661328</v>
      </c>
      <c r="F39" s="276">
        <v>2821984</v>
      </c>
      <c r="G39" s="278">
        <f>IF(ISBLANK(F39),"-",$D$48/$F$45*F39)</f>
        <v>2843891.4437550595</v>
      </c>
      <c r="I39" s="449">
        <f>ABS((F43/D43*D42)-F42)/D42</f>
        <v>1.4178707576535891E-2</v>
      </c>
      <c r="J39" s="251"/>
      <c r="K39" s="251"/>
      <c r="L39" s="256"/>
      <c r="M39" s="256"/>
      <c r="N39" s="257"/>
    </row>
    <row r="40" spans="1:14" ht="26.25" customHeight="1" x14ac:dyDescent="0.4">
      <c r="A40" s="263" t="s">
        <v>68</v>
      </c>
      <c r="B40" s="264">
        <v>1</v>
      </c>
      <c r="C40" s="275">
        <v>3</v>
      </c>
      <c r="D40" s="276">
        <v>3011586</v>
      </c>
      <c r="E40" s="277">
        <f>IF(ISBLANK(D40),"-",$D$48/$D$45*D40)</f>
        <v>2802222.6081993952</v>
      </c>
      <c r="F40" s="276">
        <v>2801670</v>
      </c>
      <c r="G40" s="278">
        <f>IF(ISBLANK(F40),"-",$D$48/$F$45*F40)</f>
        <v>2823419.7434235052</v>
      </c>
      <c r="I40" s="449"/>
      <c r="L40" s="256"/>
      <c r="M40" s="256"/>
      <c r="N40" s="279"/>
    </row>
    <row r="41" spans="1:14" ht="27" customHeight="1" x14ac:dyDescent="0.4">
      <c r="A41" s="263" t="s">
        <v>69</v>
      </c>
      <c r="B41" s="264">
        <v>1</v>
      </c>
      <c r="C41" s="280">
        <v>4</v>
      </c>
      <c r="D41" s="281"/>
      <c r="E41" s="282" t="str">
        <f>IF(ISBLANK(D41),"-",$D$48/$D$45*D41)</f>
        <v>-</v>
      </c>
      <c r="F41" s="281"/>
      <c r="G41" s="283" t="str">
        <f>IF(ISBLANK(F41),"-",$D$48/$F$45*F41)</f>
        <v>-</v>
      </c>
      <c r="I41" s="284"/>
      <c r="L41" s="256"/>
      <c r="M41" s="256"/>
      <c r="N41" s="279"/>
    </row>
    <row r="42" spans="1:14" ht="27" customHeight="1" x14ac:dyDescent="0.4">
      <c r="A42" s="263" t="s">
        <v>70</v>
      </c>
      <c r="B42" s="264">
        <v>1</v>
      </c>
      <c r="C42" s="285" t="s">
        <v>71</v>
      </c>
      <c r="D42" s="286">
        <f>AVERAGE(D38:D41)</f>
        <v>3005217</v>
      </c>
      <c r="E42" s="287">
        <f>AVERAGE(E38:E41)</f>
        <v>2796296.3767082072</v>
      </c>
      <c r="F42" s="286">
        <f>AVERAGE(F38:F41)</f>
        <v>2817365.6666666665</v>
      </c>
      <c r="G42" s="288">
        <f>AVERAGE(G38:G41)</f>
        <v>2839237.2576749553</v>
      </c>
      <c r="H42" s="289"/>
    </row>
    <row r="43" spans="1:14" ht="26.25" customHeight="1" x14ac:dyDescent="0.4">
      <c r="A43" s="263" t="s">
        <v>72</v>
      </c>
      <c r="B43" s="264">
        <v>1</v>
      </c>
      <c r="C43" s="290" t="s">
        <v>73</v>
      </c>
      <c r="D43" s="291">
        <v>16.3</v>
      </c>
      <c r="E43" s="279"/>
      <c r="F43" s="291">
        <v>15.05</v>
      </c>
      <c r="H43" s="289"/>
    </row>
    <row r="44" spans="1:14" ht="26.25" customHeight="1" x14ac:dyDescent="0.4">
      <c r="A44" s="263" t="s">
        <v>74</v>
      </c>
      <c r="B44" s="264">
        <v>1</v>
      </c>
      <c r="C44" s="292" t="s">
        <v>75</v>
      </c>
      <c r="D44" s="293">
        <f>D43*$B$34</f>
        <v>16.3</v>
      </c>
      <c r="E44" s="294"/>
      <c r="F44" s="293">
        <f>F43*$B$34</f>
        <v>15.05</v>
      </c>
      <c r="H44" s="289"/>
    </row>
    <row r="45" spans="1:14" ht="19.5" customHeight="1" x14ac:dyDescent="0.3">
      <c r="A45" s="263" t="s">
        <v>76</v>
      </c>
      <c r="B45" s="295">
        <f>(B44/B43)*(B42/B41)*(B40/B39)*(B38/B37)*B36</f>
        <v>125</v>
      </c>
      <c r="C45" s="292" t="s">
        <v>77</v>
      </c>
      <c r="D45" s="296">
        <f>D44*$B$30/100</f>
        <v>16.120700000000003</v>
      </c>
      <c r="E45" s="297"/>
      <c r="F45" s="296">
        <f>F44*$B$30/100</f>
        <v>14.884450000000001</v>
      </c>
      <c r="H45" s="289"/>
    </row>
    <row r="46" spans="1:14" ht="19.5" customHeight="1" x14ac:dyDescent="0.3">
      <c r="A46" s="435" t="s">
        <v>78</v>
      </c>
      <c r="B46" s="436"/>
      <c r="C46" s="292" t="s">
        <v>79</v>
      </c>
      <c r="D46" s="298">
        <f>D45/$B$45</f>
        <v>0.12896560000000001</v>
      </c>
      <c r="E46" s="299"/>
      <c r="F46" s="300">
        <f>F45/$B$45</f>
        <v>0.1190756</v>
      </c>
      <c r="H46" s="289"/>
    </row>
    <row r="47" spans="1:14" ht="27" customHeight="1" x14ac:dyDescent="0.4">
      <c r="A47" s="437"/>
      <c r="B47" s="438"/>
      <c r="C47" s="301" t="s">
        <v>80</v>
      </c>
      <c r="D47" s="302">
        <v>0.12</v>
      </c>
      <c r="E47" s="303"/>
      <c r="F47" s="299"/>
      <c r="H47" s="289"/>
    </row>
    <row r="48" spans="1:14" ht="18.75" x14ac:dyDescent="0.3">
      <c r="C48" s="304" t="s">
        <v>81</v>
      </c>
      <c r="D48" s="296">
        <f>D47*$B$45</f>
        <v>15</v>
      </c>
      <c r="F48" s="305"/>
      <c r="H48" s="289"/>
    </row>
    <row r="49" spans="1:12" ht="19.5" customHeight="1" x14ac:dyDescent="0.3">
      <c r="C49" s="306" t="s">
        <v>82</v>
      </c>
      <c r="D49" s="307">
        <f>D48/B34</f>
        <v>15</v>
      </c>
      <c r="F49" s="305"/>
      <c r="H49" s="289"/>
    </row>
    <row r="50" spans="1:12" ht="18.75" x14ac:dyDescent="0.3">
      <c r="C50" s="261" t="s">
        <v>83</v>
      </c>
      <c r="D50" s="308">
        <f>AVERAGE(E38:E41,G38:G41)</f>
        <v>2817766.8171915817</v>
      </c>
      <c r="F50" s="309"/>
      <c r="H50" s="289"/>
    </row>
    <row r="51" spans="1:12" ht="18.75" x14ac:dyDescent="0.3">
      <c r="C51" s="263" t="s">
        <v>84</v>
      </c>
      <c r="D51" s="310">
        <f>STDEV(E38:E41,G38:G41)/D50</f>
        <v>9.1925473778440309E-3</v>
      </c>
      <c r="F51" s="309"/>
      <c r="H51" s="289"/>
    </row>
    <row r="52" spans="1:12" ht="19.5" customHeight="1" x14ac:dyDescent="0.3">
      <c r="C52" s="311" t="s">
        <v>20</v>
      </c>
      <c r="D52" s="312">
        <f>COUNT(E38:E41,G38:G41)</f>
        <v>6</v>
      </c>
      <c r="F52" s="309"/>
    </row>
    <row r="54" spans="1:12" ht="18.75" x14ac:dyDescent="0.3">
      <c r="A54" s="313" t="s">
        <v>1</v>
      </c>
      <c r="B54" s="314" t="s">
        <v>85</v>
      </c>
    </row>
    <row r="55" spans="1:12" ht="18.75" x14ac:dyDescent="0.3">
      <c r="A55" s="238" t="s">
        <v>86</v>
      </c>
      <c r="B55" s="315" t="str">
        <f>B21</f>
        <v>Each film coated tablet contains: tenofovir disoproxil fumarate 300 mg equivalent to tenofovir disoproxil 245 mg and lamivudine USP 300 mg.</v>
      </c>
    </row>
    <row r="56" spans="1:12" ht="26.25" customHeight="1" x14ac:dyDescent="0.4">
      <c r="A56" s="316" t="s">
        <v>87</v>
      </c>
      <c r="B56" s="317">
        <v>300</v>
      </c>
      <c r="C56" s="238" t="str">
        <f>B20</f>
        <v xml:space="preserve">Lamivudine </v>
      </c>
      <c r="H56" s="318"/>
    </row>
    <row r="57" spans="1:12" ht="18.75" x14ac:dyDescent="0.3">
      <c r="A57" s="315" t="s">
        <v>88</v>
      </c>
      <c r="B57" s="386">
        <f>Uniformity!C46</f>
        <v>1193.0179999999998</v>
      </c>
      <c r="H57" s="318"/>
    </row>
    <row r="58" spans="1:12" ht="19.5" customHeight="1" x14ac:dyDescent="0.3">
      <c r="H58" s="318"/>
    </row>
    <row r="59" spans="1:12" s="3" customFormat="1" ht="27" customHeight="1" x14ac:dyDescent="0.4">
      <c r="A59" s="261" t="s">
        <v>89</v>
      </c>
      <c r="B59" s="262">
        <v>200</v>
      </c>
      <c r="C59" s="238"/>
      <c r="D59" s="319" t="s">
        <v>90</v>
      </c>
      <c r="E59" s="320" t="s">
        <v>62</v>
      </c>
      <c r="F59" s="320" t="s">
        <v>63</v>
      </c>
      <c r="G59" s="320" t="s">
        <v>91</v>
      </c>
      <c r="H59" s="265" t="s">
        <v>92</v>
      </c>
      <c r="L59" s="251"/>
    </row>
    <row r="60" spans="1:12" s="3" customFormat="1" ht="26.25" customHeight="1" x14ac:dyDescent="0.4">
      <c r="A60" s="263" t="s">
        <v>93</v>
      </c>
      <c r="B60" s="264">
        <v>4</v>
      </c>
      <c r="C60" s="452" t="s">
        <v>94</v>
      </c>
      <c r="D60" s="455">
        <v>1202.3</v>
      </c>
      <c r="E60" s="321">
        <v>1</v>
      </c>
      <c r="F60" s="322">
        <v>2718917</v>
      </c>
      <c r="G60" s="387">
        <f>IF(ISBLANK(F60),"-",(F60/$D$50*$D$47*$B$68)*($B$57/$D$60))</f>
        <v>287.24091637150946</v>
      </c>
      <c r="H60" s="405">
        <f t="shared" ref="H60:H71" si="0">IF(ISBLANK(F60),"-",(G60/$B$56)*100)</f>
        <v>95.746972123836485</v>
      </c>
      <c r="L60" s="251"/>
    </row>
    <row r="61" spans="1:12" s="3" customFormat="1" ht="26.25" customHeight="1" x14ac:dyDescent="0.4">
      <c r="A61" s="263" t="s">
        <v>95</v>
      </c>
      <c r="B61" s="264">
        <v>50</v>
      </c>
      <c r="C61" s="453"/>
      <c r="D61" s="456"/>
      <c r="E61" s="323">
        <v>2</v>
      </c>
      <c r="F61" s="276">
        <v>2723258</v>
      </c>
      <c r="G61" s="388">
        <f>IF(ISBLANK(F61),"-",(F61/$D$50*$D$47*$B$68)*($B$57/$D$60))</f>
        <v>287.69952280119037</v>
      </c>
      <c r="H61" s="406">
        <f t="shared" si="0"/>
        <v>95.899840933730118</v>
      </c>
      <c r="L61" s="251"/>
    </row>
    <row r="62" spans="1:12" s="3" customFormat="1" ht="26.25" customHeight="1" x14ac:dyDescent="0.4">
      <c r="A62" s="263" t="s">
        <v>96</v>
      </c>
      <c r="B62" s="264">
        <v>1</v>
      </c>
      <c r="C62" s="453"/>
      <c r="D62" s="456"/>
      <c r="E62" s="323">
        <v>3</v>
      </c>
      <c r="F62" s="324">
        <v>2721413</v>
      </c>
      <c r="G62" s="388">
        <f>IF(ISBLANK(F62),"-",(F62/$D$50*$D$47*$B$68)*($B$57/$D$60))</f>
        <v>287.50460714517533</v>
      </c>
      <c r="H62" s="406">
        <f t="shared" si="0"/>
        <v>95.834869048391781</v>
      </c>
      <c r="L62" s="251"/>
    </row>
    <row r="63" spans="1:12" ht="27" customHeight="1" x14ac:dyDescent="0.4">
      <c r="A63" s="263" t="s">
        <v>97</v>
      </c>
      <c r="B63" s="264">
        <v>1</v>
      </c>
      <c r="C63" s="462"/>
      <c r="D63" s="457"/>
      <c r="E63" s="325">
        <v>4</v>
      </c>
      <c r="F63" s="326"/>
      <c r="G63" s="388" t="str">
        <f>IF(ISBLANK(F63),"-",(F63/$D$50*$D$47*$B$68)*($B$57/$D$60))</f>
        <v>-</v>
      </c>
      <c r="H63" s="406" t="str">
        <f t="shared" si="0"/>
        <v>-</v>
      </c>
    </row>
    <row r="64" spans="1:12" ht="26.25" customHeight="1" x14ac:dyDescent="0.4">
      <c r="A64" s="263" t="s">
        <v>98</v>
      </c>
      <c r="B64" s="264">
        <v>1</v>
      </c>
      <c r="C64" s="452" t="s">
        <v>99</v>
      </c>
      <c r="D64" s="455">
        <v>1182.19</v>
      </c>
      <c r="E64" s="321">
        <v>1</v>
      </c>
      <c r="F64" s="322">
        <v>2666683</v>
      </c>
      <c r="G64" s="387">
        <f>IF(ISBLANK(F64),"-",(F64/$D$50*$D$47*$B$68)*($B$57/$D$64))</f>
        <v>286.51496557960536</v>
      </c>
      <c r="H64" s="405">
        <f t="shared" si="0"/>
        <v>95.504988526535115</v>
      </c>
    </row>
    <row r="65" spans="1:8" ht="26.25" customHeight="1" x14ac:dyDescent="0.4">
      <c r="A65" s="263" t="s">
        <v>100</v>
      </c>
      <c r="B65" s="264">
        <v>1</v>
      </c>
      <c r="C65" s="453"/>
      <c r="D65" s="456"/>
      <c r="E65" s="323">
        <v>2</v>
      </c>
      <c r="F65" s="276">
        <v>2685194</v>
      </c>
      <c r="G65" s="388">
        <f>IF(ISBLANK(F65),"-",(F65/$D$50*$D$47*$B$68)*($B$57/$D$64))</f>
        <v>288.50383284573496</v>
      </c>
      <c r="H65" s="406">
        <f t="shared" si="0"/>
        <v>96.167944281911659</v>
      </c>
    </row>
    <row r="66" spans="1:8" ht="26.25" customHeight="1" x14ac:dyDescent="0.4">
      <c r="A66" s="263" t="s">
        <v>101</v>
      </c>
      <c r="B66" s="264">
        <v>1</v>
      </c>
      <c r="C66" s="453"/>
      <c r="D66" s="456"/>
      <c r="E66" s="323">
        <v>3</v>
      </c>
      <c r="F66" s="276">
        <v>2695285</v>
      </c>
      <c r="G66" s="388">
        <f>IF(ISBLANK(F66),"-",(F66/$D$50*$D$47*$B$68)*($B$57/$D$64))</f>
        <v>289.58803464912279</v>
      </c>
      <c r="H66" s="406">
        <f t="shared" si="0"/>
        <v>96.529344883040935</v>
      </c>
    </row>
    <row r="67" spans="1:8" ht="27" customHeight="1" x14ac:dyDescent="0.4">
      <c r="A67" s="263" t="s">
        <v>102</v>
      </c>
      <c r="B67" s="264">
        <v>1</v>
      </c>
      <c r="C67" s="462"/>
      <c r="D67" s="457"/>
      <c r="E67" s="325">
        <v>4</v>
      </c>
      <c r="F67" s="326"/>
      <c r="G67" s="404" t="str">
        <f>IF(ISBLANK(F67),"-",(F67/$D$50*$D$47*$B$68)*($B$57/$D$64))</f>
        <v>-</v>
      </c>
      <c r="H67" s="407" t="str">
        <f t="shared" si="0"/>
        <v>-</v>
      </c>
    </row>
    <row r="68" spans="1:8" ht="26.25" customHeight="1" x14ac:dyDescent="0.4">
      <c r="A68" s="263" t="s">
        <v>103</v>
      </c>
      <c r="B68" s="327">
        <f>(B67/B66)*(B65/B64)*(B63/B62)*(B61/B60)*B59</f>
        <v>2500</v>
      </c>
      <c r="C68" s="452" t="s">
        <v>104</v>
      </c>
      <c r="D68" s="455">
        <v>1191.6500000000001</v>
      </c>
      <c r="E68" s="321">
        <v>1</v>
      </c>
      <c r="F68" s="322">
        <v>2671622</v>
      </c>
      <c r="G68" s="387">
        <f>IF(ISBLANK(F68),"-",(F68/$D$50*$D$47*$B$68)*($B$57/$D$68))</f>
        <v>284.76689134476686</v>
      </c>
      <c r="H68" s="406">
        <f t="shared" si="0"/>
        <v>94.922297114922287</v>
      </c>
    </row>
    <row r="69" spans="1:8" ht="27" customHeight="1" x14ac:dyDescent="0.4">
      <c r="A69" s="311" t="s">
        <v>105</v>
      </c>
      <c r="B69" s="328">
        <f>(D47*B68)/B56*B57</f>
        <v>1193.0179999999998</v>
      </c>
      <c r="C69" s="453"/>
      <c r="D69" s="456"/>
      <c r="E69" s="323">
        <v>2</v>
      </c>
      <c r="F69" s="276">
        <v>2685402</v>
      </c>
      <c r="G69" s="388">
        <f>IF(ISBLANK(F69),"-",(F69/$D$50*$D$47*$B$68)*($B$57/$D$68))</f>
        <v>286.23569485167422</v>
      </c>
      <c r="H69" s="406">
        <f t="shared" si="0"/>
        <v>95.411898283891404</v>
      </c>
    </row>
    <row r="70" spans="1:8" ht="26.25" customHeight="1" x14ac:dyDescent="0.4">
      <c r="A70" s="458" t="s">
        <v>78</v>
      </c>
      <c r="B70" s="459"/>
      <c r="C70" s="453"/>
      <c r="D70" s="456"/>
      <c r="E70" s="323">
        <v>3</v>
      </c>
      <c r="F70" s="276">
        <v>2678016</v>
      </c>
      <c r="G70" s="388">
        <f>IF(ISBLANK(F70),"-",(F70/$D$50*$D$47*$B$68)*($B$57/$D$68))</f>
        <v>285.448424699133</v>
      </c>
      <c r="H70" s="406">
        <f t="shared" si="0"/>
        <v>95.149474899710995</v>
      </c>
    </row>
    <row r="71" spans="1:8" ht="27" customHeight="1" x14ac:dyDescent="0.4">
      <c r="A71" s="460"/>
      <c r="B71" s="461"/>
      <c r="C71" s="454"/>
      <c r="D71" s="457"/>
      <c r="E71" s="325">
        <v>4</v>
      </c>
      <c r="F71" s="326"/>
      <c r="G71" s="404" t="str">
        <f>IF(ISBLANK(F71),"-",(F71/$D$50*$D$47*$B$68)*($B$57/$D$68))</f>
        <v>-</v>
      </c>
      <c r="H71" s="407" t="str">
        <f t="shared" si="0"/>
        <v>-</v>
      </c>
    </row>
    <row r="72" spans="1:8" ht="26.25" customHeight="1" x14ac:dyDescent="0.4">
      <c r="A72" s="329"/>
      <c r="B72" s="329"/>
      <c r="C72" s="329"/>
      <c r="D72" s="329"/>
      <c r="E72" s="329"/>
      <c r="F72" s="331" t="s">
        <v>71</v>
      </c>
      <c r="G72" s="393">
        <f>AVERAGE(G60:G71)</f>
        <v>287.0558766986569</v>
      </c>
      <c r="H72" s="408">
        <f>AVERAGE(H60:H71)</f>
        <v>95.685292232885629</v>
      </c>
    </row>
    <row r="73" spans="1:8" ht="26.25" customHeight="1" x14ac:dyDescent="0.4">
      <c r="C73" s="329"/>
      <c r="D73" s="329"/>
      <c r="E73" s="329"/>
      <c r="F73" s="332" t="s">
        <v>84</v>
      </c>
      <c r="G73" s="392">
        <f>STDEV(G60:G71)/G72</f>
        <v>5.21775297048348E-3</v>
      </c>
      <c r="H73" s="392">
        <f>STDEV(H60:H71)/H72</f>
        <v>5.2177529704835086E-3</v>
      </c>
    </row>
    <row r="74" spans="1:8" ht="27" customHeight="1" x14ac:dyDescent="0.4">
      <c r="A74" s="329"/>
      <c r="B74" s="329"/>
      <c r="C74" s="330"/>
      <c r="D74" s="330"/>
      <c r="E74" s="333"/>
      <c r="F74" s="334" t="s">
        <v>20</v>
      </c>
      <c r="G74" s="335">
        <f>COUNT(G60:G71)</f>
        <v>9</v>
      </c>
      <c r="H74" s="335">
        <f>COUNT(H60:H71)</f>
        <v>9</v>
      </c>
    </row>
    <row r="76" spans="1:8" ht="26.25" customHeight="1" x14ac:dyDescent="0.4">
      <c r="A76" s="247" t="s">
        <v>106</v>
      </c>
      <c r="B76" s="336" t="s">
        <v>107</v>
      </c>
      <c r="C76" s="439" t="str">
        <f>B26</f>
        <v xml:space="preserve">Lamivudine </v>
      </c>
      <c r="D76" s="439"/>
      <c r="E76" s="337" t="s">
        <v>108</v>
      </c>
      <c r="F76" s="337"/>
      <c r="G76" s="424">
        <f>H72</f>
        <v>95.685292232885629</v>
      </c>
      <c r="H76" s="339"/>
    </row>
    <row r="77" spans="1:8" ht="18.75" x14ac:dyDescent="0.3">
      <c r="A77" s="246" t="s">
        <v>109</v>
      </c>
      <c r="B77" s="246" t="s">
        <v>110</v>
      </c>
    </row>
    <row r="78" spans="1:8" ht="18.75" x14ac:dyDescent="0.3">
      <c r="A78" s="246"/>
      <c r="B78" s="246"/>
    </row>
    <row r="79" spans="1:8" ht="26.25" customHeight="1" x14ac:dyDescent="0.4">
      <c r="A79" s="247" t="s">
        <v>4</v>
      </c>
      <c r="B79" s="473" t="str">
        <f>B26</f>
        <v xml:space="preserve">Lamivudine </v>
      </c>
      <c r="C79" s="473"/>
    </row>
    <row r="80" spans="1:8" ht="26.25" customHeight="1" x14ac:dyDescent="0.4">
      <c r="A80" s="248" t="s">
        <v>48</v>
      </c>
      <c r="B80" s="473" t="str">
        <f>B27</f>
        <v>L3-12</v>
      </c>
      <c r="C80" s="473"/>
    </row>
    <row r="81" spans="1:12" ht="27" customHeight="1" x14ac:dyDescent="0.4">
      <c r="A81" s="248" t="s">
        <v>6</v>
      </c>
      <c r="B81" s="340">
        <f>B28</f>
        <v>98.9</v>
      </c>
    </row>
    <row r="82" spans="1:12" s="3" customFormat="1" ht="27" customHeight="1" x14ac:dyDescent="0.4">
      <c r="A82" s="248" t="s">
        <v>49</v>
      </c>
      <c r="B82" s="250">
        <v>0</v>
      </c>
      <c r="C82" s="441" t="s">
        <v>50</v>
      </c>
      <c r="D82" s="442"/>
      <c r="E82" s="442"/>
      <c r="F82" s="442"/>
      <c r="G82" s="443"/>
      <c r="I82" s="251"/>
      <c r="J82" s="251"/>
      <c r="K82" s="251"/>
      <c r="L82" s="251"/>
    </row>
    <row r="83" spans="1:12" s="3" customFormat="1" ht="19.5" customHeight="1" x14ac:dyDescent="0.3">
      <c r="A83" s="248" t="s">
        <v>51</v>
      </c>
      <c r="B83" s="252">
        <f>B81-B82</f>
        <v>98.9</v>
      </c>
      <c r="C83" s="253"/>
      <c r="D83" s="253"/>
      <c r="E83" s="253"/>
      <c r="F83" s="253"/>
      <c r="G83" s="254"/>
      <c r="I83" s="251"/>
      <c r="J83" s="251"/>
      <c r="K83" s="251"/>
      <c r="L83" s="251"/>
    </row>
    <row r="84" spans="1:12" s="3" customFormat="1" ht="27" customHeight="1" x14ac:dyDescent="0.4">
      <c r="A84" s="248" t="s">
        <v>52</v>
      </c>
      <c r="B84" s="255">
        <v>1</v>
      </c>
      <c r="C84" s="444" t="s">
        <v>111</v>
      </c>
      <c r="D84" s="445"/>
      <c r="E84" s="445"/>
      <c r="F84" s="445"/>
      <c r="G84" s="445"/>
      <c r="H84" s="446"/>
      <c r="I84" s="251"/>
      <c r="J84" s="251"/>
      <c r="K84" s="251"/>
      <c r="L84" s="251"/>
    </row>
    <row r="85" spans="1:12" s="3" customFormat="1" ht="27" customHeight="1" x14ac:dyDescent="0.4">
      <c r="A85" s="248" t="s">
        <v>54</v>
      </c>
      <c r="B85" s="255">
        <v>1</v>
      </c>
      <c r="C85" s="444" t="s">
        <v>112</v>
      </c>
      <c r="D85" s="445"/>
      <c r="E85" s="445"/>
      <c r="F85" s="445"/>
      <c r="G85" s="445"/>
      <c r="H85" s="446"/>
      <c r="I85" s="251"/>
      <c r="J85" s="251"/>
      <c r="K85" s="251"/>
      <c r="L85" s="251"/>
    </row>
    <row r="86" spans="1:12" s="3" customFormat="1" ht="18.75" x14ac:dyDescent="0.3">
      <c r="A86" s="248"/>
      <c r="B86" s="258"/>
      <c r="C86" s="259"/>
      <c r="D86" s="259"/>
      <c r="E86" s="259"/>
      <c r="F86" s="259"/>
      <c r="G86" s="259"/>
      <c r="H86" s="259"/>
      <c r="I86" s="251"/>
      <c r="J86" s="251"/>
      <c r="K86" s="251"/>
      <c r="L86" s="251"/>
    </row>
    <row r="87" spans="1:12" s="3" customFormat="1" ht="18.75" x14ac:dyDescent="0.3">
      <c r="A87" s="248" t="s">
        <v>56</v>
      </c>
      <c r="B87" s="260">
        <f>B84/B85</f>
        <v>1</v>
      </c>
      <c r="C87" s="238" t="s">
        <v>57</v>
      </c>
      <c r="D87" s="238"/>
      <c r="E87" s="238"/>
      <c r="F87" s="238"/>
      <c r="G87" s="238"/>
      <c r="I87" s="251"/>
      <c r="J87" s="251"/>
      <c r="K87" s="251"/>
      <c r="L87" s="251"/>
    </row>
    <row r="88" spans="1:12" ht="19.5" customHeight="1" x14ac:dyDescent="0.3">
      <c r="A88" s="246"/>
      <c r="B88" s="246"/>
    </row>
    <row r="89" spans="1:12" ht="27" customHeight="1" x14ac:dyDescent="0.4">
      <c r="A89" s="261" t="s">
        <v>58</v>
      </c>
      <c r="B89" s="262">
        <v>50</v>
      </c>
      <c r="D89" s="341" t="s">
        <v>59</v>
      </c>
      <c r="E89" s="342"/>
      <c r="F89" s="447" t="s">
        <v>60</v>
      </c>
      <c r="G89" s="448"/>
    </row>
    <row r="90" spans="1:12" ht="27" customHeight="1" x14ac:dyDescent="0.4">
      <c r="A90" s="263" t="s">
        <v>61</v>
      </c>
      <c r="B90" s="264">
        <v>1</v>
      </c>
      <c r="C90" s="343" t="s">
        <v>62</v>
      </c>
      <c r="D90" s="266" t="s">
        <v>63</v>
      </c>
      <c r="E90" s="267" t="s">
        <v>64</v>
      </c>
      <c r="F90" s="266" t="s">
        <v>63</v>
      </c>
      <c r="G90" s="344" t="s">
        <v>64</v>
      </c>
      <c r="I90" s="269" t="s">
        <v>65</v>
      </c>
    </row>
    <row r="91" spans="1:12" ht="26.25" customHeight="1" x14ac:dyDescent="0.4">
      <c r="A91" s="263" t="s">
        <v>66</v>
      </c>
      <c r="B91" s="264">
        <v>1</v>
      </c>
      <c r="C91" s="345">
        <v>1</v>
      </c>
      <c r="D91" s="522">
        <v>4004195</v>
      </c>
      <c r="E91" s="272">
        <f>IF(ISBLANK(D91),"-",$D$101/$D$98*D91)</f>
        <v>4122944.0340692629</v>
      </c>
      <c r="F91" s="271">
        <v>4173064</v>
      </c>
      <c r="G91" s="273">
        <f>IF(ISBLANK(F91),"-",$D$101/$F$98*F91)</f>
        <v>4172193.402310051</v>
      </c>
      <c r="I91" s="274"/>
    </row>
    <row r="92" spans="1:12" ht="26.25" customHeight="1" x14ac:dyDescent="0.4">
      <c r="A92" s="263" t="s">
        <v>67</v>
      </c>
      <c r="B92" s="264">
        <v>1</v>
      </c>
      <c r="C92" s="330">
        <v>2</v>
      </c>
      <c r="D92" s="523">
        <v>4012672</v>
      </c>
      <c r="E92" s="277">
        <f>IF(ISBLANK(D92),"-",$D$101/$D$98*D92)</f>
        <v>4131672.4293089565</v>
      </c>
      <c r="F92" s="276">
        <v>4186697</v>
      </c>
      <c r="G92" s="278">
        <f>IF(ISBLANK(F92),"-",$D$101/$F$98*F92)</f>
        <v>4185823.5581508656</v>
      </c>
      <c r="I92" s="449">
        <f>ABS((F96/D96*D95)-F95)/D95</f>
        <v>1.1886971361918122E-2</v>
      </c>
    </row>
    <row r="93" spans="1:12" ht="26.25" customHeight="1" x14ac:dyDescent="0.4">
      <c r="A93" s="263" t="s">
        <v>68</v>
      </c>
      <c r="B93" s="264">
        <v>1</v>
      </c>
      <c r="C93" s="330">
        <v>3</v>
      </c>
      <c r="D93" s="523">
        <v>4014126</v>
      </c>
      <c r="E93" s="277">
        <f>IF(ISBLANK(D93),"-",$D$101/$D$98*D93)</f>
        <v>4133169.5493606864</v>
      </c>
      <c r="F93" s="276">
        <v>4173622</v>
      </c>
      <c r="G93" s="278">
        <f>IF(ISBLANK(F93),"-",$D$101/$F$98*F93)</f>
        <v>4172751.2858983423</v>
      </c>
      <c r="I93" s="449"/>
    </row>
    <row r="94" spans="1:12" ht="27" customHeight="1" x14ac:dyDescent="0.4">
      <c r="A94" s="263" t="s">
        <v>69</v>
      </c>
      <c r="B94" s="264">
        <v>1</v>
      </c>
      <c r="C94" s="346">
        <v>4</v>
      </c>
      <c r="D94" s="281"/>
      <c r="E94" s="282" t="str">
        <f>IF(ISBLANK(D94),"-",$D$101/$D$98*D94)</f>
        <v>-</v>
      </c>
      <c r="F94" s="347"/>
      <c r="G94" s="283" t="str">
        <f>IF(ISBLANK(F94),"-",$D$101/$F$98*F94)</f>
        <v>-</v>
      </c>
      <c r="I94" s="284"/>
    </row>
    <row r="95" spans="1:12" ht="27" customHeight="1" x14ac:dyDescent="0.4">
      <c r="A95" s="263" t="s">
        <v>70</v>
      </c>
      <c r="B95" s="264">
        <v>1</v>
      </c>
      <c r="C95" s="348" t="s">
        <v>71</v>
      </c>
      <c r="D95" s="349">
        <f>AVERAGE(D91:D94)</f>
        <v>4010331</v>
      </c>
      <c r="E95" s="287">
        <f>AVERAGE(E91:E94)</f>
        <v>4129262.0042463019</v>
      </c>
      <c r="F95" s="350">
        <f>AVERAGE(F91:F94)</f>
        <v>4177794.3333333335</v>
      </c>
      <c r="G95" s="351">
        <f>AVERAGE(G91:G94)</f>
        <v>4176922.7487864196</v>
      </c>
    </row>
    <row r="96" spans="1:12" ht="26.25" customHeight="1" x14ac:dyDescent="0.4">
      <c r="A96" s="263" t="s">
        <v>72</v>
      </c>
      <c r="B96" s="249">
        <v>1</v>
      </c>
      <c r="C96" s="352" t="s">
        <v>113</v>
      </c>
      <c r="D96" s="353">
        <v>14.73</v>
      </c>
      <c r="E96" s="279"/>
      <c r="F96" s="291">
        <v>15.17</v>
      </c>
    </row>
    <row r="97" spans="1:10" ht="26.25" customHeight="1" x14ac:dyDescent="0.4">
      <c r="A97" s="263" t="s">
        <v>74</v>
      </c>
      <c r="B97" s="249">
        <v>1</v>
      </c>
      <c r="C97" s="354" t="s">
        <v>114</v>
      </c>
      <c r="D97" s="355">
        <f>D96*$B$87</f>
        <v>14.73</v>
      </c>
      <c r="E97" s="294"/>
      <c r="F97" s="293">
        <f>F96*$B$87</f>
        <v>15.17</v>
      </c>
    </row>
    <row r="98" spans="1:10" ht="19.5" customHeight="1" x14ac:dyDescent="0.3">
      <c r="A98" s="263" t="s">
        <v>76</v>
      </c>
      <c r="B98" s="356">
        <f>(B97/B96)*(B95/B94)*(B93/B92)*(B91/B90)*B89</f>
        <v>50</v>
      </c>
      <c r="C98" s="354" t="s">
        <v>115</v>
      </c>
      <c r="D98" s="357">
        <f>D97*$B$83/100</f>
        <v>14.567970000000001</v>
      </c>
      <c r="E98" s="297"/>
      <c r="F98" s="296">
        <f>F97*$B$83/100</f>
        <v>15.003130000000001</v>
      </c>
    </row>
    <row r="99" spans="1:10" ht="19.5" customHeight="1" x14ac:dyDescent="0.3">
      <c r="A99" s="435" t="s">
        <v>78</v>
      </c>
      <c r="B99" s="450"/>
      <c r="C99" s="354" t="s">
        <v>116</v>
      </c>
      <c r="D99" s="358">
        <f>D98/$B$98</f>
        <v>0.29135939999999999</v>
      </c>
      <c r="E99" s="297"/>
      <c r="F99" s="300">
        <f>F98/$B$98</f>
        <v>0.30006260000000001</v>
      </c>
      <c r="G99" s="359"/>
      <c r="H99" s="289"/>
    </row>
    <row r="100" spans="1:10" ht="19.5" customHeight="1" x14ac:dyDescent="0.3">
      <c r="A100" s="437"/>
      <c r="B100" s="451"/>
      <c r="C100" s="354" t="s">
        <v>80</v>
      </c>
      <c r="D100" s="360">
        <f>$B$56/$B$116</f>
        <v>0.3</v>
      </c>
      <c r="F100" s="305"/>
      <c r="G100" s="361"/>
      <c r="H100" s="289"/>
    </row>
    <row r="101" spans="1:10" ht="18.75" x14ac:dyDescent="0.3">
      <c r="C101" s="354" t="s">
        <v>81</v>
      </c>
      <c r="D101" s="355">
        <f>D100*$B$98</f>
        <v>15</v>
      </c>
      <c r="F101" s="305"/>
      <c r="G101" s="359"/>
      <c r="H101" s="289"/>
    </row>
    <row r="102" spans="1:10" ht="19.5" customHeight="1" x14ac:dyDescent="0.3">
      <c r="C102" s="362" t="s">
        <v>82</v>
      </c>
      <c r="D102" s="363">
        <f>D101/B34</f>
        <v>15</v>
      </c>
      <c r="F102" s="309"/>
      <c r="G102" s="359"/>
      <c r="H102" s="289"/>
      <c r="J102" s="364"/>
    </row>
    <row r="103" spans="1:10" ht="18.75" x14ac:dyDescent="0.3">
      <c r="C103" s="365" t="s">
        <v>117</v>
      </c>
      <c r="D103" s="366">
        <f>AVERAGE(E91:E94,G91:G94)</f>
        <v>4153092.3765163608</v>
      </c>
      <c r="F103" s="309"/>
      <c r="G103" s="367"/>
      <c r="H103" s="289"/>
      <c r="J103" s="368"/>
    </row>
    <row r="104" spans="1:10" ht="18.75" x14ac:dyDescent="0.3">
      <c r="C104" s="332" t="s">
        <v>84</v>
      </c>
      <c r="D104" s="369">
        <f>STDEV(E91:E94,G91:G94)/D103</f>
        <v>6.449525035653718E-3</v>
      </c>
      <c r="F104" s="309"/>
      <c r="G104" s="359"/>
      <c r="H104" s="289"/>
      <c r="J104" s="368"/>
    </row>
    <row r="105" spans="1:10" ht="19.5" customHeight="1" x14ac:dyDescent="0.3">
      <c r="C105" s="334" t="s">
        <v>20</v>
      </c>
      <c r="D105" s="370">
        <f>COUNT(E91:E94,G91:G94)</f>
        <v>6</v>
      </c>
      <c r="F105" s="309"/>
      <c r="G105" s="359"/>
      <c r="H105" s="289"/>
      <c r="J105" s="368"/>
    </row>
    <row r="106" spans="1:10" ht="19.5" customHeight="1" x14ac:dyDescent="0.3">
      <c r="A106" s="313"/>
      <c r="B106" s="313"/>
      <c r="C106" s="313"/>
      <c r="D106" s="313"/>
      <c r="E106" s="313"/>
    </row>
    <row r="107" spans="1:10" ht="27" customHeight="1" x14ac:dyDescent="0.4">
      <c r="A107" s="261" t="s">
        <v>118</v>
      </c>
      <c r="B107" s="262">
        <v>1000</v>
      </c>
      <c r="C107" s="409" t="s">
        <v>119</v>
      </c>
      <c r="D107" s="409" t="s">
        <v>63</v>
      </c>
      <c r="E107" s="409" t="s">
        <v>120</v>
      </c>
      <c r="F107" s="371" t="s">
        <v>121</v>
      </c>
    </row>
    <row r="108" spans="1:10" ht="26.25" customHeight="1" x14ac:dyDescent="0.4">
      <c r="A108" s="263" t="s">
        <v>122</v>
      </c>
      <c r="B108" s="264">
        <v>1</v>
      </c>
      <c r="C108" s="414">
        <v>1</v>
      </c>
      <c r="D108" s="415">
        <v>4124963</v>
      </c>
      <c r="E108" s="389">
        <f t="shared" ref="E108:E113" si="1">IF(ISBLANK(D108),"-",D108/$D$103*$D$100*$B$116)</f>
        <v>297.96806519339049</v>
      </c>
      <c r="F108" s="416">
        <f t="shared" ref="F108:F113" si="2">IF(ISBLANK(D108), "-", (E108/$B$56)*100)</f>
        <v>99.322688397796838</v>
      </c>
    </row>
    <row r="109" spans="1:10" ht="26.25" customHeight="1" x14ac:dyDescent="0.4">
      <c r="A109" s="263" t="s">
        <v>95</v>
      </c>
      <c r="B109" s="264">
        <v>1</v>
      </c>
      <c r="C109" s="410">
        <v>2</v>
      </c>
      <c r="D109" s="412">
        <v>4046432</v>
      </c>
      <c r="E109" s="390">
        <f t="shared" si="1"/>
        <v>292.2953524617364</v>
      </c>
      <c r="F109" s="417">
        <f t="shared" si="2"/>
        <v>97.431784153912133</v>
      </c>
    </row>
    <row r="110" spans="1:10" ht="26.25" customHeight="1" x14ac:dyDescent="0.4">
      <c r="A110" s="263" t="s">
        <v>96</v>
      </c>
      <c r="B110" s="264">
        <v>1</v>
      </c>
      <c r="C110" s="410">
        <v>3</v>
      </c>
      <c r="D110" s="412">
        <v>4137991</v>
      </c>
      <c r="E110" s="390">
        <f t="shared" si="1"/>
        <v>298.90914707784361</v>
      </c>
      <c r="F110" s="417">
        <f t="shared" si="2"/>
        <v>99.6363823592812</v>
      </c>
    </row>
    <row r="111" spans="1:10" ht="26.25" customHeight="1" x14ac:dyDescent="0.4">
      <c r="A111" s="263" t="s">
        <v>97</v>
      </c>
      <c r="B111" s="264">
        <v>1</v>
      </c>
      <c r="C111" s="410">
        <v>4</v>
      </c>
      <c r="D111" s="412">
        <v>4138407</v>
      </c>
      <c r="E111" s="390">
        <f t="shared" si="1"/>
        <v>298.93919697529009</v>
      </c>
      <c r="F111" s="417">
        <f t="shared" si="2"/>
        <v>99.646398991763363</v>
      </c>
    </row>
    <row r="112" spans="1:10" ht="26.25" customHeight="1" x14ac:dyDescent="0.4">
      <c r="A112" s="263" t="s">
        <v>98</v>
      </c>
      <c r="B112" s="264">
        <v>1</v>
      </c>
      <c r="C112" s="410">
        <v>5</v>
      </c>
      <c r="D112" s="412">
        <v>3997056</v>
      </c>
      <c r="E112" s="390">
        <f t="shared" si="1"/>
        <v>288.7286607878986</v>
      </c>
      <c r="F112" s="417">
        <f t="shared" si="2"/>
        <v>96.24288692929953</v>
      </c>
    </row>
    <row r="113" spans="1:10" ht="27" customHeight="1" x14ac:dyDescent="0.4">
      <c r="A113" s="263" t="s">
        <v>100</v>
      </c>
      <c r="B113" s="264">
        <v>1</v>
      </c>
      <c r="C113" s="411">
        <v>6</v>
      </c>
      <c r="D113" s="413">
        <v>4137071</v>
      </c>
      <c r="E113" s="391">
        <f t="shared" si="1"/>
        <v>298.84269057387547</v>
      </c>
      <c r="F113" s="418">
        <f t="shared" si="2"/>
        <v>99.614230191291824</v>
      </c>
    </row>
    <row r="114" spans="1:10" ht="27" customHeight="1" x14ac:dyDescent="0.4">
      <c r="A114" s="263" t="s">
        <v>101</v>
      </c>
      <c r="B114" s="264">
        <v>1</v>
      </c>
      <c r="C114" s="372"/>
      <c r="D114" s="330"/>
      <c r="E114" s="237"/>
      <c r="F114" s="419"/>
    </row>
    <row r="115" spans="1:10" ht="26.25" customHeight="1" x14ac:dyDescent="0.4">
      <c r="A115" s="263" t="s">
        <v>102</v>
      </c>
      <c r="B115" s="264">
        <v>1</v>
      </c>
      <c r="C115" s="372"/>
      <c r="D115" s="396" t="s">
        <v>71</v>
      </c>
      <c r="E115" s="398">
        <f>AVERAGE(E108:E113)</f>
        <v>295.94718551167244</v>
      </c>
      <c r="F115" s="420">
        <f>AVERAGE(F108:F113)</f>
        <v>98.649061837224153</v>
      </c>
    </row>
    <row r="116" spans="1:10" ht="27" customHeight="1" x14ac:dyDescent="0.4">
      <c r="A116" s="263" t="s">
        <v>103</v>
      </c>
      <c r="B116" s="295">
        <f>(B115/B114)*(B113/B112)*(B111/B110)*(B109/B108)*B107</f>
        <v>1000</v>
      </c>
      <c r="C116" s="373"/>
      <c r="D116" s="397" t="s">
        <v>84</v>
      </c>
      <c r="E116" s="395">
        <f>STDEV(E108:E113)/E115</f>
        <v>1.4777876181723494E-2</v>
      </c>
      <c r="F116" s="374">
        <f>STDEV(F108:F113)/F115</f>
        <v>1.4777876181723512E-2</v>
      </c>
      <c r="I116" s="237"/>
    </row>
    <row r="117" spans="1:10" ht="27" customHeight="1" x14ac:dyDescent="0.4">
      <c r="A117" s="435" t="s">
        <v>78</v>
      </c>
      <c r="B117" s="436"/>
      <c r="C117" s="375"/>
      <c r="D117" s="334" t="s">
        <v>20</v>
      </c>
      <c r="E117" s="400">
        <f>COUNT(E108:E113)</f>
        <v>6</v>
      </c>
      <c r="F117" s="401">
        <f>COUNT(F108:F113)</f>
        <v>6</v>
      </c>
      <c r="I117" s="237"/>
      <c r="J117" s="368"/>
    </row>
    <row r="118" spans="1:10" ht="26.25" customHeight="1" x14ac:dyDescent="0.3">
      <c r="A118" s="437"/>
      <c r="B118" s="438"/>
      <c r="C118" s="237"/>
      <c r="D118" s="399"/>
      <c r="E118" s="463" t="s">
        <v>123</v>
      </c>
      <c r="F118" s="464"/>
      <c r="G118" s="237"/>
      <c r="H118" s="237"/>
      <c r="I118" s="237"/>
    </row>
    <row r="119" spans="1:10" ht="25.5" customHeight="1" x14ac:dyDescent="0.4">
      <c r="A119" s="384"/>
      <c r="B119" s="259"/>
      <c r="C119" s="237"/>
      <c r="D119" s="397" t="s">
        <v>124</v>
      </c>
      <c r="E119" s="402">
        <f>MIN(E108:E113)</f>
        <v>288.7286607878986</v>
      </c>
      <c r="F119" s="421">
        <f>MIN(F108:F113)</f>
        <v>96.24288692929953</v>
      </c>
      <c r="G119" s="237"/>
      <c r="H119" s="237"/>
      <c r="I119" s="237"/>
    </row>
    <row r="120" spans="1:10" ht="24" customHeight="1" x14ac:dyDescent="0.4">
      <c r="A120" s="384"/>
      <c r="B120" s="259"/>
      <c r="C120" s="237"/>
      <c r="D120" s="306" t="s">
        <v>125</v>
      </c>
      <c r="E120" s="403">
        <f>MAX(E108:E113)</f>
        <v>298.93919697529009</v>
      </c>
      <c r="F120" s="422">
        <f>MAX(F108:F113)</f>
        <v>99.646398991763363</v>
      </c>
      <c r="G120" s="237"/>
      <c r="H120" s="237"/>
      <c r="I120" s="237"/>
    </row>
    <row r="121" spans="1:10" ht="27" customHeight="1" x14ac:dyDescent="0.3">
      <c r="A121" s="384"/>
      <c r="B121" s="259"/>
      <c r="C121" s="237"/>
      <c r="D121" s="237"/>
      <c r="E121" s="237"/>
      <c r="F121" s="330"/>
      <c r="G121" s="237"/>
      <c r="H121" s="237"/>
      <c r="I121" s="237"/>
    </row>
    <row r="122" spans="1:10" ht="25.5" customHeight="1" x14ac:dyDescent="0.3">
      <c r="A122" s="384"/>
      <c r="B122" s="259"/>
      <c r="C122" s="237"/>
      <c r="D122" s="237"/>
      <c r="E122" s="237"/>
      <c r="F122" s="330"/>
      <c r="G122" s="237"/>
      <c r="H122" s="237"/>
      <c r="I122" s="237"/>
    </row>
    <row r="123" spans="1:10" ht="18.75" x14ac:dyDescent="0.3">
      <c r="A123" s="384"/>
      <c r="B123" s="259"/>
      <c r="C123" s="237"/>
      <c r="D123" s="237"/>
      <c r="E123" s="237"/>
      <c r="F123" s="330"/>
      <c r="G123" s="237"/>
      <c r="H123" s="237"/>
      <c r="I123" s="237"/>
    </row>
    <row r="124" spans="1:10" ht="45.75" customHeight="1" x14ac:dyDescent="0.65">
      <c r="A124" s="247" t="s">
        <v>106</v>
      </c>
      <c r="B124" s="336" t="s">
        <v>126</v>
      </c>
      <c r="C124" s="439" t="str">
        <f>B26</f>
        <v xml:space="preserve">Lamivudine </v>
      </c>
      <c r="D124" s="439"/>
      <c r="E124" s="337" t="s">
        <v>127</v>
      </c>
      <c r="F124" s="337"/>
      <c r="G124" s="423">
        <f>F115</f>
        <v>98.649061837224153</v>
      </c>
      <c r="H124" s="237"/>
      <c r="I124" s="237"/>
    </row>
    <row r="125" spans="1:10" ht="45.75" customHeight="1" x14ac:dyDescent="0.65">
      <c r="A125" s="247"/>
      <c r="B125" s="336" t="s">
        <v>128</v>
      </c>
      <c r="C125" s="248" t="s">
        <v>129</v>
      </c>
      <c r="D125" s="423">
        <f>MIN(F108:F113)</f>
        <v>96.24288692929953</v>
      </c>
      <c r="E125" s="348" t="s">
        <v>130</v>
      </c>
      <c r="F125" s="423">
        <f>MAX(F108:F113)</f>
        <v>99.646398991763363</v>
      </c>
      <c r="G125" s="338"/>
      <c r="H125" s="237"/>
      <c r="I125" s="237"/>
    </row>
    <row r="126" spans="1:10" ht="19.5" customHeight="1" x14ac:dyDescent="0.3">
      <c r="A126" s="376"/>
      <c r="B126" s="376"/>
      <c r="C126" s="377"/>
      <c r="D126" s="377"/>
      <c r="E126" s="377"/>
      <c r="F126" s="377"/>
      <c r="G126" s="377"/>
      <c r="H126" s="377"/>
    </row>
    <row r="127" spans="1:10" ht="18.75" x14ac:dyDescent="0.3">
      <c r="B127" s="440" t="s">
        <v>26</v>
      </c>
      <c r="C127" s="440"/>
      <c r="E127" s="343" t="s">
        <v>27</v>
      </c>
      <c r="F127" s="378"/>
      <c r="G127" s="440" t="s">
        <v>28</v>
      </c>
      <c r="H127" s="440"/>
    </row>
    <row r="128" spans="1:10" ht="69.95" customHeight="1" x14ac:dyDescent="0.3">
      <c r="A128" s="379" t="s">
        <v>29</v>
      </c>
      <c r="B128" s="380"/>
      <c r="C128" s="380"/>
      <c r="E128" s="380"/>
      <c r="F128" s="237"/>
      <c r="G128" s="381"/>
      <c r="H128" s="381"/>
    </row>
    <row r="129" spans="1:9" ht="69.95" customHeight="1" x14ac:dyDescent="0.3">
      <c r="A129" s="379" t="s">
        <v>30</v>
      </c>
      <c r="B129" s="382"/>
      <c r="C129" s="382"/>
      <c r="E129" s="382"/>
      <c r="F129" s="237"/>
      <c r="G129" s="383"/>
      <c r="H129" s="383"/>
    </row>
    <row r="130" spans="1:9" ht="18.75" x14ac:dyDescent="0.3">
      <c r="A130" s="329"/>
      <c r="B130" s="329"/>
      <c r="C130" s="330"/>
      <c r="D130" s="330"/>
      <c r="E130" s="330"/>
      <c r="F130" s="333"/>
      <c r="G130" s="330"/>
      <c r="H130" s="330"/>
      <c r="I130" s="237"/>
    </row>
    <row r="131" spans="1:9" ht="18.75" x14ac:dyDescent="0.3">
      <c r="A131" s="329"/>
      <c r="B131" s="329"/>
      <c r="C131" s="330"/>
      <c r="D131" s="330"/>
      <c r="E131" s="330"/>
      <c r="F131" s="333"/>
      <c r="G131" s="330"/>
      <c r="H131" s="330"/>
      <c r="I131" s="237"/>
    </row>
    <row r="132" spans="1:9" ht="18.75" x14ac:dyDescent="0.3">
      <c r="A132" s="329"/>
      <c r="B132" s="329"/>
      <c r="C132" s="330"/>
      <c r="D132" s="330"/>
      <c r="E132" s="330"/>
      <c r="F132" s="333"/>
      <c r="G132" s="330"/>
      <c r="H132" s="330"/>
      <c r="I132" s="237"/>
    </row>
    <row r="133" spans="1:9" ht="18.75" x14ac:dyDescent="0.3">
      <c r="A133" s="329"/>
      <c r="B133" s="329"/>
      <c r="C133" s="330"/>
      <c r="D133" s="330"/>
      <c r="E133" s="330"/>
      <c r="F133" s="333"/>
      <c r="G133" s="330"/>
      <c r="H133" s="330"/>
      <c r="I133" s="237"/>
    </row>
    <row r="134" spans="1:9" ht="18.75" x14ac:dyDescent="0.3">
      <c r="A134" s="329"/>
      <c r="B134" s="329"/>
      <c r="C134" s="330"/>
      <c r="D134" s="330"/>
      <c r="E134" s="330"/>
      <c r="F134" s="333"/>
      <c r="G134" s="330"/>
      <c r="H134" s="330"/>
      <c r="I134" s="237"/>
    </row>
    <row r="135" spans="1:9" ht="18.75" x14ac:dyDescent="0.3">
      <c r="A135" s="329"/>
      <c r="B135" s="329"/>
      <c r="C135" s="330"/>
      <c r="D135" s="330"/>
      <c r="E135" s="330"/>
      <c r="F135" s="333"/>
      <c r="G135" s="330"/>
      <c r="H135" s="330"/>
      <c r="I135" s="237"/>
    </row>
    <row r="136" spans="1:9" ht="18.75" x14ac:dyDescent="0.3">
      <c r="A136" s="329"/>
      <c r="B136" s="329"/>
      <c r="C136" s="330"/>
      <c r="D136" s="330"/>
      <c r="E136" s="330"/>
      <c r="F136" s="333"/>
      <c r="G136" s="330"/>
      <c r="H136" s="330"/>
      <c r="I136" s="237"/>
    </row>
    <row r="137" spans="1:9" ht="18.75" x14ac:dyDescent="0.3">
      <c r="A137" s="329"/>
      <c r="B137" s="329"/>
      <c r="C137" s="330"/>
      <c r="D137" s="330"/>
      <c r="E137" s="330"/>
      <c r="F137" s="333"/>
      <c r="G137" s="330"/>
      <c r="H137" s="330"/>
      <c r="I137" s="237"/>
    </row>
    <row r="138" spans="1:9" ht="18.75" x14ac:dyDescent="0.3">
      <c r="A138" s="329"/>
      <c r="B138" s="329"/>
      <c r="C138" s="330"/>
      <c r="D138" s="330"/>
      <c r="E138" s="330"/>
      <c r="F138" s="333"/>
      <c r="G138" s="330"/>
      <c r="H138" s="330"/>
      <c r="I138" s="237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TDF</vt:lpstr>
      <vt:lpstr>SST Lamivudine</vt:lpstr>
      <vt:lpstr>Uniformity</vt:lpstr>
      <vt:lpstr>TDF</vt:lpstr>
      <vt:lpstr>Lamivudine</vt:lpstr>
      <vt:lpstr>Lamivudine!Print_Area</vt:lpstr>
      <vt:lpstr>'SST Lamivudine'!Print_Area</vt:lpstr>
      <vt:lpstr>'SST TDF'!Print_Area</vt:lpstr>
      <vt:lpstr>TDF!Print_Area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2018-07-25T10:09:27Z</cp:lastPrinted>
  <dcterms:created xsi:type="dcterms:W3CDTF">2005-07-05T10:19:27Z</dcterms:created>
  <dcterms:modified xsi:type="dcterms:W3CDTF">2018-07-25T10:50:57Z</dcterms:modified>
</cp:coreProperties>
</file>