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2695" windowHeight="11445" activeTab="6"/>
  </bookViews>
  <sheets>
    <sheet name="SST TDF" sheetId="1" r:id="rId1"/>
    <sheet name="SST Lamivudine" sheetId="7" r:id="rId2"/>
    <sheet name="SST Efavirenz" sheetId="6" r:id="rId3"/>
    <sheet name="Uniformity" sheetId="2" r:id="rId4"/>
    <sheet name="TDF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Efavirenz'!$A$15:$G$61</definedName>
    <definedName name="_xlnm.Print_Area" localSheetId="1">'SST Lamivudine'!$A$15:$G$61</definedName>
    <definedName name="_xlnm.Print_Area" localSheetId="0">'SST TDF'!$A$15:$G$61</definedName>
    <definedName name="_xlnm.Print_Area" localSheetId="4">TDF!$A$1:$I$129</definedName>
    <definedName name="_xlnm.Print_Area" localSheetId="3">Uniformity!$A$12:$F$54</definedName>
  </definedNames>
  <calcPr calcId="144525"/>
</workbook>
</file>

<file path=xl/calcChain.xml><?xml version="1.0" encoding="utf-8"?>
<calcChain xmlns="http://schemas.openxmlformats.org/spreadsheetml/2006/main">
  <c r="B21" i="7" l="1"/>
  <c r="B21" i="6"/>
  <c r="B21" i="1"/>
  <c r="B42" i="6" l="1"/>
  <c r="B42" i="7"/>
  <c r="B42" i="1"/>
  <c r="B53" i="7"/>
  <c r="E51" i="7"/>
  <c r="D51" i="7"/>
  <c r="C51" i="7"/>
  <c r="B51" i="7"/>
  <c r="B52" i="7" s="1"/>
  <c r="B32" i="7"/>
  <c r="B31" i="7"/>
  <c r="E30" i="7"/>
  <c r="D30" i="7"/>
  <c r="C30" i="7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5" l="1"/>
  <c r="B116" i="5"/>
  <c r="D100" i="5"/>
  <c r="B98" i="5"/>
  <c r="F95" i="5"/>
  <c r="D95" i="5"/>
  <c r="B87" i="5"/>
  <c r="D97" i="5" s="1"/>
  <c r="D98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G41" i="5"/>
  <c r="G38" i="5"/>
  <c r="B34" i="5"/>
  <c r="D44" i="5" s="1"/>
  <c r="D45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69" i="4" s="1"/>
  <c r="B57" i="4"/>
  <c r="C56" i="4"/>
  <c r="B55" i="4"/>
  <c r="B45" i="4"/>
  <c r="D48" i="4" s="1"/>
  <c r="F44" i="4"/>
  <c r="F45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D50" i="2"/>
  <c r="C50" i="2"/>
  <c r="C46" i="2"/>
  <c r="B57" i="3" s="1"/>
  <c r="C45" i="2"/>
  <c r="D43" i="2"/>
  <c r="D42" i="2"/>
  <c r="D41" i="2"/>
  <c r="D35" i="2"/>
  <c r="D34" i="2"/>
  <c r="D33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F97" i="5"/>
  <c r="F98" i="5" s="1"/>
  <c r="F99" i="5" s="1"/>
  <c r="I92" i="4"/>
  <c r="D101" i="3"/>
  <c r="I92" i="3"/>
  <c r="D44" i="3"/>
  <c r="D45" i="3" s="1"/>
  <c r="E40" i="3" s="1"/>
  <c r="F98" i="3"/>
  <c r="G93" i="3" s="1"/>
  <c r="F46" i="3"/>
  <c r="F98" i="4"/>
  <c r="F99" i="4" s="1"/>
  <c r="D45" i="4"/>
  <c r="D46" i="4" s="1"/>
  <c r="D101" i="4"/>
  <c r="D102" i="4" s="1"/>
  <c r="I39" i="4"/>
  <c r="I39" i="5"/>
  <c r="F44" i="5"/>
  <c r="F45" i="5" s="1"/>
  <c r="F46" i="5" s="1"/>
  <c r="D99" i="5"/>
  <c r="D101" i="5"/>
  <c r="D102" i="5" s="1"/>
  <c r="I92" i="5"/>
  <c r="G93" i="4"/>
  <c r="G92" i="4"/>
  <c r="G94" i="4"/>
  <c r="G91" i="4"/>
  <c r="E94" i="3"/>
  <c r="D102" i="3"/>
  <c r="D98" i="3"/>
  <c r="D99" i="3" s="1"/>
  <c r="G91" i="5"/>
  <c r="G39" i="3"/>
  <c r="G41" i="3"/>
  <c r="G40" i="3"/>
  <c r="G38" i="3"/>
  <c r="E41" i="3"/>
  <c r="D49" i="3"/>
  <c r="G38" i="4"/>
  <c r="D46" i="5"/>
  <c r="E39" i="5"/>
  <c r="E38" i="5"/>
  <c r="E41" i="5"/>
  <c r="B69" i="3"/>
  <c r="F46" i="4"/>
  <c r="G39" i="4"/>
  <c r="E93" i="5"/>
  <c r="E94" i="5"/>
  <c r="D28" i="2"/>
  <c r="D36" i="2"/>
  <c r="D49" i="4"/>
  <c r="G39" i="5"/>
  <c r="B57" i="5"/>
  <c r="B69" i="5" s="1"/>
  <c r="E91" i="5"/>
  <c r="G94" i="5"/>
  <c r="D29" i="2"/>
  <c r="G40" i="4"/>
  <c r="D30" i="2"/>
  <c r="D38" i="2"/>
  <c r="B49" i="2"/>
  <c r="E41" i="4"/>
  <c r="E40" i="5"/>
  <c r="D49" i="5"/>
  <c r="E92" i="5"/>
  <c r="G93" i="5"/>
  <c r="D37" i="2"/>
  <c r="D31" i="2"/>
  <c r="D39" i="2"/>
  <c r="C49" i="2"/>
  <c r="E38" i="4"/>
  <c r="G41" i="4"/>
  <c r="D97" i="4"/>
  <c r="D98" i="4" s="1"/>
  <c r="D99" i="4" s="1"/>
  <c r="G40" i="5"/>
  <c r="G92" i="5"/>
  <c r="D24" i="2"/>
  <c r="D32" i="2"/>
  <c r="D40" i="2"/>
  <c r="D49" i="2"/>
  <c r="E91" i="4" l="1"/>
  <c r="G91" i="3"/>
  <c r="E93" i="3"/>
  <c r="E40" i="4"/>
  <c r="E39" i="4"/>
  <c r="D50" i="4" s="1"/>
  <c r="E38" i="3"/>
  <c r="E39" i="3"/>
  <c r="D50" i="3" s="1"/>
  <c r="D46" i="3"/>
  <c r="E92" i="3"/>
  <c r="F99" i="3"/>
  <c r="G94" i="3"/>
  <c r="G92" i="3"/>
  <c r="G42" i="3"/>
  <c r="G95" i="4"/>
  <c r="G42" i="4"/>
  <c r="G42" i="5"/>
  <c r="G95" i="5"/>
  <c r="E91" i="3"/>
  <c r="E93" i="4"/>
  <c r="D50" i="5"/>
  <c r="D52" i="5"/>
  <c r="E42" i="5"/>
  <c r="E94" i="4"/>
  <c r="E42" i="3"/>
  <c r="D105" i="5"/>
  <c r="E95" i="5"/>
  <c r="D103" i="5"/>
  <c r="E92" i="4"/>
  <c r="E42" i="4" l="1"/>
  <c r="D52" i="4"/>
  <c r="D52" i="3"/>
  <c r="G95" i="3"/>
  <c r="E95" i="4"/>
  <c r="D103" i="4"/>
  <c r="D105" i="4"/>
  <c r="G69" i="3"/>
  <c r="H69" i="3" s="1"/>
  <c r="G70" i="3"/>
  <c r="H70" i="3" s="1"/>
  <c r="G67" i="3"/>
  <c r="H67" i="3" s="1"/>
  <c r="G63" i="3"/>
  <c r="H63" i="3" s="1"/>
  <c r="G62" i="3"/>
  <c r="H62" i="3" s="1"/>
  <c r="G66" i="3"/>
  <c r="H66" i="3" s="1"/>
  <c r="G65" i="3"/>
  <c r="H65" i="3" s="1"/>
  <c r="G68" i="3"/>
  <c r="H68" i="3" s="1"/>
  <c r="D51" i="3"/>
  <c r="G61" i="3"/>
  <c r="H61" i="3" s="1"/>
  <c r="G71" i="3"/>
  <c r="H71" i="3" s="1"/>
  <c r="G64" i="3"/>
  <c r="H64" i="3" s="1"/>
  <c r="G60" i="3"/>
  <c r="G63" i="4"/>
  <c r="H63" i="4" s="1"/>
  <c r="G69" i="4"/>
  <c r="H69" i="4" s="1"/>
  <c r="G66" i="4"/>
  <c r="H66" i="4" s="1"/>
  <c r="G62" i="4"/>
  <c r="H62" i="4" s="1"/>
  <c r="G65" i="4"/>
  <c r="H65" i="4" s="1"/>
  <c r="G64" i="4"/>
  <c r="H64" i="4" s="1"/>
  <c r="G60" i="4"/>
  <c r="G67" i="4"/>
  <c r="H67" i="4" s="1"/>
  <c r="D51" i="4"/>
  <c r="G61" i="4"/>
  <c r="H61" i="4" s="1"/>
  <c r="G68" i="4"/>
  <c r="H68" i="4" s="1"/>
  <c r="G71" i="4"/>
  <c r="H71" i="4" s="1"/>
  <c r="G70" i="4"/>
  <c r="H70" i="4" s="1"/>
  <c r="D51" i="5"/>
  <c r="G66" i="5"/>
  <c r="H66" i="5" s="1"/>
  <c r="G65" i="5"/>
  <c r="H65" i="5" s="1"/>
  <c r="G61" i="5"/>
  <c r="H61" i="5" s="1"/>
  <c r="G71" i="5"/>
  <c r="H71" i="5" s="1"/>
  <c r="G60" i="5"/>
  <c r="G68" i="5"/>
  <c r="H68" i="5" s="1"/>
  <c r="G64" i="5"/>
  <c r="H64" i="5" s="1"/>
  <c r="G69" i="5"/>
  <c r="H69" i="5" s="1"/>
  <c r="G70" i="5"/>
  <c r="H70" i="5" s="1"/>
  <c r="G67" i="5"/>
  <c r="H67" i="5" s="1"/>
  <c r="G63" i="5"/>
  <c r="H63" i="5" s="1"/>
  <c r="G62" i="5"/>
  <c r="H62" i="5" s="1"/>
  <c r="E110" i="4"/>
  <c r="F110" i="4" s="1"/>
  <c r="D104" i="4"/>
  <c r="E113" i="4"/>
  <c r="F113" i="4" s="1"/>
  <c r="E109" i="4"/>
  <c r="F109" i="4" s="1"/>
  <c r="E111" i="4"/>
  <c r="F111" i="4" s="1"/>
  <c r="E112" i="4"/>
  <c r="F112" i="4" s="1"/>
  <c r="E108" i="4"/>
  <c r="E113" i="5"/>
  <c r="F113" i="5" s="1"/>
  <c r="E109" i="5"/>
  <c r="F109" i="5" s="1"/>
  <c r="E112" i="5"/>
  <c r="F112" i="5" s="1"/>
  <c r="E108" i="5"/>
  <c r="E111" i="5"/>
  <c r="F111" i="5" s="1"/>
  <c r="D104" i="5"/>
  <c r="E110" i="5"/>
  <c r="F110" i="5" s="1"/>
  <c r="D103" i="3"/>
  <c r="E95" i="3"/>
  <c r="D105" i="3"/>
  <c r="E111" i="3" l="1"/>
  <c r="F111" i="3" s="1"/>
  <c r="D104" i="3"/>
  <c r="E112" i="3"/>
  <c r="F112" i="3" s="1"/>
  <c r="E108" i="3"/>
  <c r="E110" i="3"/>
  <c r="F110" i="3" s="1"/>
  <c r="E113" i="3"/>
  <c r="F113" i="3" s="1"/>
  <c r="E109" i="3"/>
  <c r="F109" i="3" s="1"/>
  <c r="E115" i="4"/>
  <c r="E116" i="4" s="1"/>
  <c r="E119" i="4"/>
  <c r="E120" i="4"/>
  <c r="E117" i="4"/>
  <c r="F108" i="4"/>
  <c r="G72" i="5"/>
  <c r="G73" i="5" s="1"/>
  <c r="H60" i="5"/>
  <c r="G74" i="5"/>
  <c r="G74" i="3"/>
  <c r="H60" i="3"/>
  <c r="G72" i="3"/>
  <c r="G73" i="3" s="1"/>
  <c r="E117" i="5"/>
  <c r="F108" i="5"/>
  <c r="E115" i="5"/>
  <c r="E116" i="5" s="1"/>
  <c r="E120" i="5"/>
  <c r="E119" i="5"/>
  <c r="G72" i="4"/>
  <c r="G73" i="4" s="1"/>
  <c r="G74" i="4"/>
  <c r="H60" i="4"/>
  <c r="H72" i="5" l="1"/>
  <c r="H74" i="5"/>
  <c r="E119" i="3"/>
  <c r="E117" i="3"/>
  <c r="E120" i="3"/>
  <c r="F108" i="3"/>
  <c r="E115" i="3"/>
  <c r="E116" i="3" s="1"/>
  <c r="H72" i="4"/>
  <c r="H74" i="4"/>
  <c r="F125" i="5"/>
  <c r="F117" i="5"/>
  <c r="D125" i="5"/>
  <c r="F119" i="5"/>
  <c r="F120" i="5"/>
  <c r="F115" i="5"/>
  <c r="F119" i="4"/>
  <c r="D125" i="4"/>
  <c r="F120" i="4"/>
  <c r="F125" i="4"/>
  <c r="F117" i="4"/>
  <c r="F115" i="4"/>
  <c r="H74" i="3"/>
  <c r="H72" i="3"/>
  <c r="H73" i="3" l="1"/>
  <c r="G76" i="3"/>
  <c r="F120" i="3"/>
  <c r="F115" i="3"/>
  <c r="D125" i="3"/>
  <c r="F119" i="3"/>
  <c r="F125" i="3"/>
  <c r="F117" i="3"/>
  <c r="H73" i="4"/>
  <c r="G76" i="4"/>
  <c r="G124" i="5"/>
  <c r="F116" i="5"/>
  <c r="G124" i="4"/>
  <c r="F116" i="4"/>
  <c r="H73" i="5"/>
  <c r="G76" i="5"/>
  <c r="G124" i="3" l="1"/>
  <c r="F116" i="3"/>
</calcChain>
</file>

<file path=xl/sharedStrings.xml><?xml version="1.0" encoding="utf-8"?>
<sst xmlns="http://schemas.openxmlformats.org/spreadsheetml/2006/main" count="665" uniqueCount="141">
  <si>
    <t>HPLC System Suitability Report</t>
  </si>
  <si>
    <t>Analysis Data</t>
  </si>
  <si>
    <t>Assay</t>
  </si>
  <si>
    <t>Sample(s)</t>
  </si>
  <si>
    <t>Reference Substance:</t>
  </si>
  <si>
    <t>TENOFOVIR DISOPROXIL FUMARATE and LAMIVUDINE TABLETS 
300 mg/300 mg</t>
  </si>
  <si>
    <t>% age Purity:</t>
  </si>
  <si>
    <t>NDQB201807015</t>
  </si>
  <si>
    <t>Weight (mg):</t>
  </si>
  <si>
    <t>Tenofovir Disoproxil Fumarate 300mg, Lamivudine 300mg &amp; Efavirenz 600mg tablets</t>
  </si>
  <si>
    <t>Standard Conc (mg/mL):</t>
  </si>
  <si>
    <t>Each film coated tablet contains Tenofovir Disoproxil Fumarate 300 mg, Lamivudine USP 300 mg and Efavirenz USP 600 mg.</t>
  </si>
  <si>
    <t>2018-07-04 10:41:40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</si>
  <si>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</si>
  <si>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</si>
  <si>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</si>
  <si>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</si>
  <si>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</si>
  <si>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</si>
  <si>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</si>
  <si>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</si>
  <si>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</si>
  <si>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</si>
  <si>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</si>
  <si>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</si>
  <si>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</si>
  <si>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</si>
  <si>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</si>
  <si>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</si>
  <si>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</si>
  <si>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</si>
  <si>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</si>
  <si>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</si>
  <si>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</si>
  <si>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</si>
  <si>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</si>
  <si>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</si>
  <si>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</si>
  <si>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</si>
  <si>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</si>
  <si>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</si>
  <si>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</si>
  <si>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</si>
  <si>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</si>
  <si>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</si>
  <si>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</si>
  <si>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</si>
  <si>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</si>
  <si>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</si>
  <si>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</si>
  <si>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</si>
  <si>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</si>
  <si>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</si>
  <si>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</si>
  <si>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</si>
  <si>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</si>
  <si>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</si>
  <si>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</si>
  <si>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</si>
  <si>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</si>
  <si>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</si>
  <si>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</si>
  <si>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</si>
  <si>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</si>
  <si>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</si>
  <si>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</si>
  <si>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</si>
  <si>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</si>
  <si>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</si>
  <si>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</si>
  <si>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</si>
  <si>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</si>
  <si>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</si>
  <si>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</si>
  <si>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</si>
  <si>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</si>
  <si>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</si>
  <si>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</si>
  <si>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</si>
  <si>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</si>
  <si>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</si>
  <si>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</si>
  <si>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</si>
  <si>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</si>
  <si>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</si>
  <si>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</si>
  <si>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</si>
  <si>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</si>
  <si>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</si>
  <si>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</si>
  <si>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</si>
  <si>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</si>
  <si>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</si>
  <si>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</si>
  <si>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</si>
  <si>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</si>
  <si>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</si>
  <si>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</si>
  <si>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</si>
  <si>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</si>
  <si>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</si>
  <si>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</si>
  <si>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</si>
  <si>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</si>
  <si>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</si>
  <si>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</si>
  <si>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</si>
  <si>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</si>
  <si>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</si>
  <si>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</si>
  <si>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</si>
  <si>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</si>
  <si>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</si>
  <si>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</si>
  <si>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</si>
  <si>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</si>
  <si>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</si>
  <si>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</si>
  <si>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</si>
  <si>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</si>
  <si>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</si>
  <si>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</si>
  <si>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</si>
  <si>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</si>
  <si>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</si>
  <si>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</si>
  <si>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</si>
  <si>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</si>
  <si>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</si>
  <si>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</si>
  <si>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</si>
  <si>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</si>
  <si>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E15-6</t>
  </si>
  <si>
    <t xml:space="preserve"> Lamivudine</t>
  </si>
  <si>
    <t>L3-12</t>
  </si>
  <si>
    <t xml:space="preserve">Tenofovir Disoproxil Fumarate </t>
  </si>
  <si>
    <t>T11-12</t>
  </si>
  <si>
    <t xml:space="preserve">                        Tenofovir Disoproxil Fumarate </t>
  </si>
  <si>
    <t xml:space="preserve">Lamivudine </t>
  </si>
  <si>
    <t>RUTTO  KENNEDY</t>
  </si>
  <si>
    <r>
      <t xml:space="preserve">The number of Theoretical Plates (USP) for Lamivudine,Tdf and Efavirenz peaks should be </t>
    </r>
    <r>
      <rPr>
        <b/>
        <sz val="12"/>
        <color rgb="FF000000"/>
        <rFont val="Book Antiqua"/>
        <family val="1"/>
      </rPr>
      <t>NLT 2000,10000 and 10000</t>
    </r>
    <r>
      <rPr>
        <sz val="12"/>
        <color rgb="FF000000"/>
        <rFont val="Book Antiqua"/>
        <family val="1"/>
      </rPr>
      <t xml:space="preserve"> respectively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</si>
</sst>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6" fillId="2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27" sqref="D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1" t="s">
        <v>0</v>
      </c>
      <c r="B15" s="661"/>
      <c r="C15" s="661"/>
      <c r="D15" s="661"/>
      <c r="E15" s="6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</v>
      </c>
      <c r="C19" s="10"/>
      <c r="D19" s="10"/>
      <c r="E19" s="10"/>
    </row>
    <row r="20" spans="1:6" ht="16.5" customHeight="1" x14ac:dyDescent="0.3">
      <c r="A20" s="7" t="s">
        <v>8</v>
      </c>
      <c r="B20" s="12">
        <v>14.63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14.63/50*10/25</f>
        <v>0.11704000000000001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1400917</v>
      </c>
      <c r="C24" s="18">
        <v>33832.800000000003</v>
      </c>
      <c r="D24" s="19">
        <v>1</v>
      </c>
      <c r="E24" s="20">
        <v>14.3</v>
      </c>
    </row>
    <row r="25" spans="1:6" ht="16.5" customHeight="1" x14ac:dyDescent="0.3">
      <c r="A25" s="17">
        <v>2</v>
      </c>
      <c r="B25" s="18">
        <v>1410518</v>
      </c>
      <c r="C25" s="18">
        <v>33740.699999999997</v>
      </c>
      <c r="D25" s="19">
        <v>1.1000000000000001</v>
      </c>
      <c r="E25" s="19">
        <v>14.3</v>
      </c>
    </row>
    <row r="26" spans="1:6" ht="16.5" customHeight="1" x14ac:dyDescent="0.3">
      <c r="A26" s="17">
        <v>3</v>
      </c>
      <c r="B26" s="18">
        <v>1410707</v>
      </c>
      <c r="C26" s="18">
        <v>33842.9</v>
      </c>
      <c r="D26" s="19">
        <v>1</v>
      </c>
      <c r="E26" s="19">
        <v>14.3</v>
      </c>
    </row>
    <row r="27" spans="1:6" ht="16.5" customHeight="1" x14ac:dyDescent="0.3">
      <c r="A27" s="17">
        <v>4</v>
      </c>
      <c r="B27" s="18">
        <v>1415147</v>
      </c>
      <c r="C27" s="18">
        <v>33835</v>
      </c>
      <c r="D27" s="19">
        <v>1.1000000000000001</v>
      </c>
      <c r="E27" s="19">
        <v>14.3</v>
      </c>
    </row>
    <row r="28" spans="1:6" ht="16.5" customHeight="1" x14ac:dyDescent="0.3">
      <c r="A28" s="17">
        <v>5</v>
      </c>
      <c r="B28" s="18">
        <v>1406540</v>
      </c>
      <c r="C28" s="18">
        <v>33664.6</v>
      </c>
      <c r="D28" s="19">
        <v>1.1000000000000001</v>
      </c>
      <c r="E28" s="19">
        <v>14.3</v>
      </c>
    </row>
    <row r="29" spans="1:6" ht="16.5" customHeight="1" x14ac:dyDescent="0.3">
      <c r="A29" s="17">
        <v>6</v>
      </c>
      <c r="B29" s="21">
        <v>1414013</v>
      </c>
      <c r="C29" s="21">
        <v>34423.4</v>
      </c>
      <c r="D29" s="22">
        <v>1</v>
      </c>
      <c r="E29" s="22">
        <v>14.3</v>
      </c>
    </row>
    <row r="30" spans="1:6" ht="16.5" customHeight="1" x14ac:dyDescent="0.3">
      <c r="A30" s="23" t="s">
        <v>18</v>
      </c>
      <c r="B30" s="24">
        <f>AVERAGE(B24:B29)</f>
        <v>1409640.3333333333</v>
      </c>
      <c r="C30" s="25">
        <f>AVERAGE(C24:C29)</f>
        <v>33889.9</v>
      </c>
      <c r="D30" s="26">
        <f>AVERAGE(D24:D29)</f>
        <v>1.05</v>
      </c>
      <c r="E30" s="26">
        <f>AVERAGE(E24:E29)</f>
        <v>14.299999999999999</v>
      </c>
    </row>
    <row r="31" spans="1:6" ht="16.5" customHeight="1" x14ac:dyDescent="0.3">
      <c r="A31" s="27" t="s">
        <v>19</v>
      </c>
      <c r="B31" s="28">
        <f>(STDEV(B24:B29)/B30)</f>
        <v>3.7141760620349107E-3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712" t="s">
        <v>140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137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14.49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14.49/50</f>
        <v>0.2898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3097312</v>
      </c>
      <c r="C45" s="18">
        <v>100042</v>
      </c>
      <c r="D45" s="19">
        <v>1.1200000000000001</v>
      </c>
      <c r="E45" s="20">
        <v>8.67</v>
      </c>
    </row>
    <row r="46" spans="1:6" ht="16.5" customHeight="1" x14ac:dyDescent="0.3">
      <c r="A46" s="17">
        <v>2</v>
      </c>
      <c r="B46" s="18">
        <v>3102355</v>
      </c>
      <c r="C46" s="18">
        <v>100384</v>
      </c>
      <c r="D46" s="19">
        <v>1.04</v>
      </c>
      <c r="E46" s="19">
        <v>8.67</v>
      </c>
    </row>
    <row r="47" spans="1:6" ht="16.5" customHeight="1" x14ac:dyDescent="0.3">
      <c r="A47" s="17">
        <v>3</v>
      </c>
      <c r="B47" s="18">
        <v>3092226</v>
      </c>
      <c r="C47" s="18">
        <v>101262</v>
      </c>
      <c r="D47" s="19">
        <v>1.06</v>
      </c>
      <c r="E47" s="19">
        <v>8.67</v>
      </c>
    </row>
    <row r="48" spans="1:6" ht="16.5" customHeight="1" x14ac:dyDescent="0.3">
      <c r="A48" s="17">
        <v>4</v>
      </c>
      <c r="B48" s="18">
        <v>3094099</v>
      </c>
      <c r="C48" s="18">
        <v>100496</v>
      </c>
      <c r="D48" s="19">
        <v>1.03</v>
      </c>
      <c r="E48" s="19">
        <v>8.67</v>
      </c>
    </row>
    <row r="49" spans="1:7" ht="16.5" customHeight="1" x14ac:dyDescent="0.3">
      <c r="A49" s="17">
        <v>5</v>
      </c>
      <c r="B49" s="18">
        <v>3097764</v>
      </c>
      <c r="C49" s="18">
        <v>100758</v>
      </c>
      <c r="D49" s="19">
        <v>1.1299999999999999</v>
      </c>
      <c r="E49" s="19">
        <v>8.67</v>
      </c>
    </row>
    <row r="50" spans="1:7" ht="16.5" customHeight="1" x14ac:dyDescent="0.3">
      <c r="A50" s="17">
        <v>6</v>
      </c>
      <c r="B50" s="21">
        <v>3092438</v>
      </c>
      <c r="C50" s="21">
        <v>101253</v>
      </c>
      <c r="D50" s="22">
        <v>1.04</v>
      </c>
      <c r="E50" s="22">
        <v>8.67</v>
      </c>
    </row>
    <row r="51" spans="1:7" ht="16.5" customHeight="1" x14ac:dyDescent="0.3">
      <c r="A51" s="23" t="s">
        <v>18</v>
      </c>
      <c r="B51" s="24">
        <f>AVERAGE(B45:B50)</f>
        <v>3096032.3333333335</v>
      </c>
      <c r="C51" s="25">
        <f>AVERAGE(C45:C50)</f>
        <v>100699.16666666667</v>
      </c>
      <c r="D51" s="26">
        <f>AVERAGE(D45:D50)</f>
        <v>1.07</v>
      </c>
      <c r="E51" s="26">
        <f>AVERAGE(E45:E50)</f>
        <v>8.67</v>
      </c>
    </row>
    <row r="52" spans="1:7" ht="16.5" customHeight="1" x14ac:dyDescent="0.3">
      <c r="A52" s="27" t="s">
        <v>19</v>
      </c>
      <c r="B52" s="28">
        <f>(STDEV(B45:B50)/B51)</f>
        <v>1.2572520884846893E-3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2" t="s">
        <v>26</v>
      </c>
      <c r="C59" s="66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139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2" sqref="C22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1" t="s">
        <v>0</v>
      </c>
      <c r="B15" s="661"/>
      <c r="C15" s="661"/>
      <c r="D15" s="661"/>
      <c r="E15" s="66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98.9</v>
      </c>
      <c r="C19" s="72"/>
      <c r="D19" s="72"/>
      <c r="E19" s="72"/>
    </row>
    <row r="20" spans="1:5" ht="16.5" customHeight="1" x14ac:dyDescent="0.3">
      <c r="A20" s="8" t="s">
        <v>8</v>
      </c>
      <c r="B20" s="12">
        <v>16.3</v>
      </c>
      <c r="C20" s="72"/>
      <c r="D20" s="72"/>
      <c r="E20" s="72"/>
    </row>
    <row r="21" spans="1:5" ht="16.5" customHeight="1" x14ac:dyDescent="0.3">
      <c r="A21" s="8" t="s">
        <v>10</v>
      </c>
      <c r="B21" s="13">
        <f>16.3/50*10/25</f>
        <v>0.13040000000000002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3024649</v>
      </c>
      <c r="C24" s="18">
        <v>5874.5</v>
      </c>
      <c r="D24" s="19">
        <v>1</v>
      </c>
      <c r="E24" s="20">
        <v>5.2</v>
      </c>
    </row>
    <row r="25" spans="1:5" ht="16.5" customHeight="1" x14ac:dyDescent="0.3">
      <c r="A25" s="17">
        <v>2</v>
      </c>
      <c r="B25" s="18">
        <v>3033480</v>
      </c>
      <c r="C25" s="18">
        <v>5775.2</v>
      </c>
      <c r="D25" s="19">
        <v>1</v>
      </c>
      <c r="E25" s="19">
        <v>5.2</v>
      </c>
    </row>
    <row r="26" spans="1:5" ht="16.5" customHeight="1" x14ac:dyDescent="0.3">
      <c r="A26" s="17">
        <v>3</v>
      </c>
      <c r="B26" s="18">
        <v>3040436</v>
      </c>
      <c r="C26" s="18">
        <v>5828.3</v>
      </c>
      <c r="D26" s="19">
        <v>0.9</v>
      </c>
      <c r="E26" s="19">
        <v>5.2</v>
      </c>
    </row>
    <row r="27" spans="1:5" ht="16.5" customHeight="1" x14ac:dyDescent="0.3">
      <c r="A27" s="17">
        <v>4</v>
      </c>
      <c r="B27" s="18">
        <v>3044989</v>
      </c>
      <c r="C27" s="18">
        <v>5792.5</v>
      </c>
      <c r="D27" s="19">
        <v>1</v>
      </c>
      <c r="E27" s="19">
        <v>5.2</v>
      </c>
    </row>
    <row r="28" spans="1:5" ht="16.5" customHeight="1" x14ac:dyDescent="0.3">
      <c r="A28" s="17">
        <v>5</v>
      </c>
      <c r="B28" s="18">
        <v>3037262</v>
      </c>
      <c r="C28" s="18">
        <v>5818.4</v>
      </c>
      <c r="D28" s="19">
        <v>0.9</v>
      </c>
      <c r="E28" s="19">
        <v>5.2</v>
      </c>
    </row>
    <row r="29" spans="1:5" ht="16.5" customHeight="1" x14ac:dyDescent="0.3">
      <c r="A29" s="17">
        <v>6</v>
      </c>
      <c r="B29" s="21">
        <v>3045730</v>
      </c>
      <c r="C29" s="21">
        <v>5768.1</v>
      </c>
      <c r="D29" s="22">
        <v>0.9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3037757.6666666665</v>
      </c>
      <c r="C30" s="25">
        <f>AVERAGE(C24:C29)</f>
        <v>5809.5</v>
      </c>
      <c r="D30" s="26">
        <f>AVERAGE(D24:D29)</f>
        <v>0.95000000000000007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2.606242599382531E-3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712" t="s">
        <v>140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98.9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14.73</v>
      </c>
      <c r="C41" s="72"/>
      <c r="D41" s="72"/>
      <c r="E41" s="72"/>
    </row>
    <row r="42" spans="1:5" ht="16.5" customHeight="1" x14ac:dyDescent="0.3">
      <c r="A42" s="8" t="s">
        <v>10</v>
      </c>
      <c r="B42" s="13">
        <f>14.73/50</f>
        <v>0.29460000000000003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3995794</v>
      </c>
      <c r="C45" s="18">
        <v>1694</v>
      </c>
      <c r="D45" s="19">
        <v>0.79</v>
      </c>
      <c r="E45" s="20">
        <v>4.97</v>
      </c>
    </row>
    <row r="46" spans="1:5" ht="16.5" customHeight="1" x14ac:dyDescent="0.3">
      <c r="A46" s="17">
        <v>2</v>
      </c>
      <c r="B46" s="18">
        <v>4022073</v>
      </c>
      <c r="C46" s="18">
        <v>1732</v>
      </c>
      <c r="D46" s="19">
        <v>0.8</v>
      </c>
      <c r="E46" s="19">
        <v>4.9800000000000004</v>
      </c>
    </row>
    <row r="47" spans="1:5" ht="16.5" customHeight="1" x14ac:dyDescent="0.3">
      <c r="A47" s="17">
        <v>3</v>
      </c>
      <c r="B47" s="18">
        <v>4011105</v>
      </c>
      <c r="C47" s="18">
        <v>1697</v>
      </c>
      <c r="D47" s="19">
        <v>0.81</v>
      </c>
      <c r="E47" s="19">
        <v>4.97</v>
      </c>
    </row>
    <row r="48" spans="1:5" ht="16.5" customHeight="1" x14ac:dyDescent="0.3">
      <c r="A48" s="17">
        <v>4</v>
      </c>
      <c r="B48" s="18">
        <v>4009549</v>
      </c>
      <c r="C48" s="18">
        <v>1750</v>
      </c>
      <c r="D48" s="19">
        <v>0.8</v>
      </c>
      <c r="E48" s="19">
        <v>4.9800000000000004</v>
      </c>
    </row>
    <row r="49" spans="1:7" ht="16.5" customHeight="1" x14ac:dyDescent="0.3">
      <c r="A49" s="17">
        <v>5</v>
      </c>
      <c r="B49" s="18">
        <v>4008018</v>
      </c>
      <c r="C49" s="18">
        <v>1732</v>
      </c>
      <c r="D49" s="19">
        <v>0.8</v>
      </c>
      <c r="E49" s="19">
        <v>4.9800000000000004</v>
      </c>
    </row>
    <row r="50" spans="1:7" ht="16.5" customHeight="1" x14ac:dyDescent="0.3">
      <c r="A50" s="17">
        <v>6</v>
      </c>
      <c r="B50" s="21">
        <v>4015736</v>
      </c>
      <c r="C50" s="21">
        <v>1715</v>
      </c>
      <c r="D50" s="22">
        <v>0.81</v>
      </c>
      <c r="E50" s="22">
        <v>4.9800000000000004</v>
      </c>
    </row>
    <row r="51" spans="1:7" ht="16.5" customHeight="1" x14ac:dyDescent="0.3">
      <c r="A51" s="23" t="s">
        <v>18</v>
      </c>
      <c r="B51" s="24">
        <f>AVERAGE(B45:B50)</f>
        <v>4010379.1666666665</v>
      </c>
      <c r="C51" s="25">
        <f>AVERAGE(C45:C50)</f>
        <v>1720</v>
      </c>
      <c r="D51" s="26">
        <f>AVERAGE(D45:D50)</f>
        <v>0.80166666666666675</v>
      </c>
      <c r="E51" s="26">
        <f>AVERAGE(E45:E50)</f>
        <v>4.9766666666666666</v>
      </c>
    </row>
    <row r="52" spans="1:7" ht="16.5" customHeight="1" x14ac:dyDescent="0.3">
      <c r="A52" s="27" t="s">
        <v>19</v>
      </c>
      <c r="B52" s="28">
        <f>(STDEV(B45:B50)/B51)</f>
        <v>2.1879487419527105E-3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2" t="s">
        <v>26</v>
      </c>
      <c r="C59" s="662"/>
      <c r="E59" s="660" t="s">
        <v>27</v>
      </c>
      <c r="F59" s="46"/>
      <c r="G59" s="660" t="s">
        <v>28</v>
      </c>
    </row>
    <row r="60" spans="1:7" ht="15" customHeight="1" x14ac:dyDescent="0.3">
      <c r="A60" s="47" t="s">
        <v>29</v>
      </c>
      <c r="B60" s="49" t="s">
        <v>139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2" sqref="C22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61" t="s">
        <v>0</v>
      </c>
      <c r="B15" s="661"/>
      <c r="C15" s="661"/>
      <c r="D15" s="661"/>
      <c r="E15" s="66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97.21</v>
      </c>
      <c r="C19" s="72"/>
      <c r="D19" s="72"/>
      <c r="E19" s="72"/>
    </row>
    <row r="20" spans="1:5" ht="16.5" customHeight="1" x14ac:dyDescent="0.3">
      <c r="A20" s="8" t="s">
        <v>8</v>
      </c>
      <c r="B20" s="12">
        <v>30.41</v>
      </c>
      <c r="C20" s="72"/>
      <c r="D20" s="72"/>
      <c r="E20" s="72"/>
    </row>
    <row r="21" spans="1:5" ht="16.5" customHeight="1" x14ac:dyDescent="0.3">
      <c r="A21" s="8" t="s">
        <v>10</v>
      </c>
      <c r="B21" s="13">
        <f>30.41/50*10/25</f>
        <v>0.24328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725685</v>
      </c>
      <c r="C24" s="18">
        <v>537579.30000000005</v>
      </c>
      <c r="D24" s="19">
        <v>1.1000000000000001</v>
      </c>
      <c r="E24" s="20">
        <v>23.7</v>
      </c>
    </row>
    <row r="25" spans="1:5" ht="16.5" customHeight="1" x14ac:dyDescent="0.3">
      <c r="A25" s="17">
        <v>2</v>
      </c>
      <c r="B25" s="18">
        <v>725172</v>
      </c>
      <c r="C25" s="18">
        <v>533532.19999999995</v>
      </c>
      <c r="D25" s="19">
        <v>1.1000000000000001</v>
      </c>
      <c r="E25" s="19">
        <v>23.8</v>
      </c>
    </row>
    <row r="26" spans="1:5" ht="16.5" customHeight="1" x14ac:dyDescent="0.3">
      <c r="A26" s="17">
        <v>3</v>
      </c>
      <c r="B26" s="18">
        <v>725113</v>
      </c>
      <c r="C26" s="18">
        <v>535673.30000000005</v>
      </c>
      <c r="D26" s="19">
        <v>1.1000000000000001</v>
      </c>
      <c r="E26" s="19">
        <v>23.8</v>
      </c>
    </row>
    <row r="27" spans="1:5" ht="16.5" customHeight="1" x14ac:dyDescent="0.3">
      <c r="A27" s="17">
        <v>4</v>
      </c>
      <c r="B27" s="18">
        <v>726763</v>
      </c>
      <c r="C27" s="18">
        <v>539048.80000000005</v>
      </c>
      <c r="D27" s="19">
        <v>1.1000000000000001</v>
      </c>
      <c r="E27" s="19">
        <v>23.8</v>
      </c>
    </row>
    <row r="28" spans="1:5" ht="16.5" customHeight="1" x14ac:dyDescent="0.3">
      <c r="A28" s="17">
        <v>5</v>
      </c>
      <c r="B28" s="18">
        <v>725813</v>
      </c>
      <c r="C28" s="18">
        <v>534685.6</v>
      </c>
      <c r="D28" s="19">
        <v>1.1000000000000001</v>
      </c>
      <c r="E28" s="19">
        <v>23.8</v>
      </c>
    </row>
    <row r="29" spans="1:5" ht="16.5" customHeight="1" x14ac:dyDescent="0.3">
      <c r="A29" s="17">
        <v>6</v>
      </c>
      <c r="B29" s="21">
        <v>726202</v>
      </c>
      <c r="C29" s="21">
        <v>529631.4</v>
      </c>
      <c r="D29" s="22">
        <v>1.2</v>
      </c>
      <c r="E29" s="22">
        <v>23.7</v>
      </c>
    </row>
    <row r="30" spans="1:5" ht="16.5" customHeight="1" x14ac:dyDescent="0.3">
      <c r="A30" s="23" t="s">
        <v>18</v>
      </c>
      <c r="B30" s="24">
        <f>AVERAGE(B24:B29)</f>
        <v>725791.33333333337</v>
      </c>
      <c r="C30" s="25">
        <f>AVERAGE(C24:C29)</f>
        <v>535025.1</v>
      </c>
      <c r="D30" s="26">
        <f>AVERAGE(D24:D29)</f>
        <v>1.1166666666666667</v>
      </c>
      <c r="E30" s="26">
        <f>AVERAGE(E24:E29)</f>
        <v>23.766666666666666</v>
      </c>
    </row>
    <row r="31" spans="1:5" ht="16.5" customHeight="1" x14ac:dyDescent="0.3">
      <c r="A31" s="27" t="s">
        <v>19</v>
      </c>
      <c r="B31" s="28">
        <f>(STDEV(B24:B29)/B30)</f>
        <v>8.6446115506700499E-4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712" t="s">
        <v>140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97.21</v>
      </c>
      <c r="C40" s="72"/>
      <c r="D40" s="72"/>
      <c r="E40" s="72"/>
    </row>
    <row r="41" spans="1:5" ht="16.5" customHeight="1" x14ac:dyDescent="0.3">
      <c r="A41" s="8" t="s">
        <v>8</v>
      </c>
      <c r="B41" s="12">
        <v>30.25</v>
      </c>
      <c r="C41" s="72"/>
      <c r="D41" s="72"/>
      <c r="E41" s="72"/>
    </row>
    <row r="42" spans="1:5" ht="16.5" customHeight="1" x14ac:dyDescent="0.3">
      <c r="A42" s="8" t="s">
        <v>10</v>
      </c>
      <c r="B42" s="13">
        <f>30.25/50</f>
        <v>0.60499999999999998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1913089</v>
      </c>
      <c r="C45" s="18">
        <v>133994</v>
      </c>
      <c r="D45" s="19">
        <v>1.08</v>
      </c>
      <c r="E45" s="20">
        <v>9.6300000000000008</v>
      </c>
    </row>
    <row r="46" spans="1:5" ht="16.5" customHeight="1" x14ac:dyDescent="0.3">
      <c r="A46" s="17">
        <v>2</v>
      </c>
      <c r="B46" s="18">
        <v>1941009</v>
      </c>
      <c r="C46" s="18">
        <v>132167</v>
      </c>
      <c r="D46" s="19">
        <v>1.01</v>
      </c>
      <c r="E46" s="19">
        <v>9.64</v>
      </c>
    </row>
    <row r="47" spans="1:5" ht="16.5" customHeight="1" x14ac:dyDescent="0.3">
      <c r="A47" s="17">
        <v>3</v>
      </c>
      <c r="B47" s="18">
        <v>1944213</v>
      </c>
      <c r="C47" s="18">
        <v>133284</v>
      </c>
      <c r="D47" s="19">
        <v>1.02</v>
      </c>
      <c r="E47" s="19">
        <v>9.64</v>
      </c>
    </row>
    <row r="48" spans="1:5" ht="16.5" customHeight="1" x14ac:dyDescent="0.3">
      <c r="A48" s="17">
        <v>4</v>
      </c>
      <c r="B48" s="18">
        <v>1931174</v>
      </c>
      <c r="C48" s="18">
        <v>134856</v>
      </c>
      <c r="D48" s="19">
        <v>1.07</v>
      </c>
      <c r="E48" s="19">
        <v>9.6300000000000008</v>
      </c>
    </row>
    <row r="49" spans="1:7" ht="16.5" customHeight="1" x14ac:dyDescent="0.3">
      <c r="A49" s="17">
        <v>5</v>
      </c>
      <c r="B49" s="18">
        <v>1906079</v>
      </c>
      <c r="C49" s="18">
        <v>133993</v>
      </c>
      <c r="D49" s="19">
        <v>1</v>
      </c>
      <c r="E49" s="19">
        <v>9.6300000000000008</v>
      </c>
    </row>
    <row r="50" spans="1:7" ht="16.5" customHeight="1" x14ac:dyDescent="0.3">
      <c r="A50" s="17">
        <v>6</v>
      </c>
      <c r="B50" s="21">
        <v>1934686</v>
      </c>
      <c r="C50" s="21">
        <v>133379</v>
      </c>
      <c r="D50" s="22">
        <v>1</v>
      </c>
      <c r="E50" s="22">
        <v>9.64</v>
      </c>
    </row>
    <row r="51" spans="1:7" ht="16.5" customHeight="1" x14ac:dyDescent="0.3">
      <c r="A51" s="23" t="s">
        <v>18</v>
      </c>
      <c r="B51" s="24">
        <f>AVERAGE(B45:B50)</f>
        <v>1928375</v>
      </c>
      <c r="C51" s="25">
        <f>AVERAGE(C45:C50)</f>
        <v>133612.16666666666</v>
      </c>
      <c r="D51" s="26">
        <f>AVERAGE(D45:D50)</f>
        <v>1.03</v>
      </c>
      <c r="E51" s="26">
        <f>AVERAGE(E45:E50)</f>
        <v>9.6350000000000016</v>
      </c>
    </row>
    <row r="52" spans="1:7" ht="16.5" customHeight="1" x14ac:dyDescent="0.3">
      <c r="A52" s="27" t="s">
        <v>19</v>
      </c>
      <c r="B52" s="28">
        <f>(STDEV(B45:B50)/B51)</f>
        <v>7.9964195506248125E-3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2" t="s">
        <v>26</v>
      </c>
      <c r="C59" s="662"/>
      <c r="E59" s="660" t="s">
        <v>27</v>
      </c>
      <c r="F59" s="46"/>
      <c r="G59" s="660" t="s">
        <v>28</v>
      </c>
    </row>
    <row r="60" spans="1:7" ht="15" customHeight="1" x14ac:dyDescent="0.3">
      <c r="A60" s="47" t="s">
        <v>29</v>
      </c>
      <c r="B60" s="49" t="s">
        <v>139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3" sqref="D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6" t="s">
        <v>31</v>
      </c>
      <c r="B11" s="667"/>
      <c r="C11" s="667"/>
      <c r="D11" s="667"/>
      <c r="E11" s="667"/>
      <c r="F11" s="668"/>
      <c r="G11" s="91"/>
    </row>
    <row r="12" spans="1:7" ht="16.5" customHeight="1" x14ac:dyDescent="0.3">
      <c r="A12" s="665" t="s">
        <v>32</v>
      </c>
      <c r="B12" s="665"/>
      <c r="C12" s="665"/>
      <c r="D12" s="665"/>
      <c r="E12" s="665"/>
      <c r="F12" s="665"/>
      <c r="G12" s="90"/>
    </row>
    <row r="14" spans="1:7" ht="16.5" customHeight="1" x14ac:dyDescent="0.3">
      <c r="A14" s="670" t="s">
        <v>33</v>
      </c>
      <c r="B14" s="670"/>
      <c r="C14" s="60" t="s">
        <v>5</v>
      </c>
    </row>
    <row r="15" spans="1:7" ht="16.5" customHeight="1" x14ac:dyDescent="0.3">
      <c r="A15" s="670" t="s">
        <v>34</v>
      </c>
      <c r="B15" s="670"/>
      <c r="C15" s="60" t="s">
        <v>7</v>
      </c>
    </row>
    <row r="16" spans="1:7" ht="16.5" customHeight="1" x14ac:dyDescent="0.3">
      <c r="A16" s="670" t="s">
        <v>35</v>
      </c>
      <c r="B16" s="670"/>
      <c r="C16" s="60" t="s">
        <v>9</v>
      </c>
    </row>
    <row r="17" spans="1:5" ht="16.5" customHeight="1" x14ac:dyDescent="0.3">
      <c r="A17" s="670" t="s">
        <v>36</v>
      </c>
      <c r="B17" s="670"/>
      <c r="C17" s="60" t="s">
        <v>11</v>
      </c>
    </row>
    <row r="18" spans="1:5" ht="16.5" customHeight="1" x14ac:dyDescent="0.3">
      <c r="A18" s="670" t="s">
        <v>37</v>
      </c>
      <c r="B18" s="670"/>
      <c r="C18" s="97" t="s">
        <v>12</v>
      </c>
    </row>
    <row r="19" spans="1:5" ht="16.5" customHeight="1" x14ac:dyDescent="0.3">
      <c r="A19" s="670" t="s">
        <v>38</v>
      </c>
      <c r="B19" s="67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5" t="s">
        <v>1</v>
      </c>
      <c r="B21" s="665"/>
      <c r="C21" s="59" t="s">
        <v>39</v>
      </c>
      <c r="D21" s="66"/>
    </row>
    <row r="22" spans="1:5" ht="15.75" customHeight="1" x14ac:dyDescent="0.3">
      <c r="A22" s="669"/>
      <c r="B22" s="669"/>
      <c r="C22" s="57"/>
      <c r="D22" s="669"/>
      <c r="E22" s="66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1941.35</v>
      </c>
      <c r="D24" s="87">
        <f t="shared" ref="D24:D43" si="0">(C24-$C$46)/$C$46</f>
        <v>1.2102110564081253E-2</v>
      </c>
      <c r="E24" s="53"/>
    </row>
    <row r="25" spans="1:5" ht="15.75" customHeight="1" x14ac:dyDescent="0.3">
      <c r="C25" s="95">
        <v>1908.69</v>
      </c>
      <c r="D25" s="88">
        <f t="shared" si="0"/>
        <v>-4.9248319918837966E-3</v>
      </c>
      <c r="E25" s="53"/>
    </row>
    <row r="26" spans="1:5" ht="15.75" customHeight="1" x14ac:dyDescent="0.3">
      <c r="C26" s="95">
        <v>1926.4</v>
      </c>
      <c r="D26" s="88">
        <f t="shared" si="0"/>
        <v>4.3080875631113956E-3</v>
      </c>
      <c r="E26" s="53"/>
    </row>
    <row r="27" spans="1:5" ht="15.75" customHeight="1" x14ac:dyDescent="0.3">
      <c r="C27" s="95">
        <v>1916.45</v>
      </c>
      <c r="D27" s="88">
        <f t="shared" si="0"/>
        <v>-8.792387820157865E-4</v>
      </c>
      <c r="E27" s="53"/>
    </row>
    <row r="28" spans="1:5" ht="15.75" customHeight="1" x14ac:dyDescent="0.3">
      <c r="C28" s="95">
        <v>1900.71</v>
      </c>
      <c r="D28" s="88">
        <f t="shared" si="0"/>
        <v>-9.0851198546089036E-3</v>
      </c>
      <c r="E28" s="53"/>
    </row>
    <row r="29" spans="1:5" ht="15.75" customHeight="1" x14ac:dyDescent="0.3">
      <c r="C29" s="95">
        <v>1895.1</v>
      </c>
      <c r="D29" s="88">
        <f t="shared" si="0"/>
        <v>-1.2009833502464585E-2</v>
      </c>
      <c r="E29" s="53"/>
    </row>
    <row r="30" spans="1:5" ht="15.75" customHeight="1" x14ac:dyDescent="0.3">
      <c r="C30" s="95">
        <v>1922.6</v>
      </c>
      <c r="D30" s="88">
        <f t="shared" si="0"/>
        <v>2.3269981046707779E-3</v>
      </c>
      <c r="E30" s="53"/>
    </row>
    <row r="31" spans="1:5" ht="15.75" customHeight="1" x14ac:dyDescent="0.3">
      <c r="C31" s="95">
        <v>1932.01</v>
      </c>
      <c r="D31" s="88">
        <f t="shared" si="0"/>
        <v>7.2328012109669571E-3</v>
      </c>
      <c r="E31" s="53"/>
    </row>
    <row r="32" spans="1:5" ht="15.75" customHeight="1" x14ac:dyDescent="0.3">
      <c r="C32" s="95">
        <v>1914.41</v>
      </c>
      <c r="D32" s="88">
        <f t="shared" si="0"/>
        <v>-1.9427710175996271E-3</v>
      </c>
      <c r="E32" s="53"/>
    </row>
    <row r="33" spans="1:7" ht="15.75" customHeight="1" x14ac:dyDescent="0.3">
      <c r="C33" s="95">
        <v>1918.45</v>
      </c>
      <c r="D33" s="88">
        <f t="shared" si="0"/>
        <v>1.6343988032133081E-4</v>
      </c>
      <c r="E33" s="53"/>
    </row>
    <row r="34" spans="1:7" ht="15.75" customHeight="1" x14ac:dyDescent="0.3">
      <c r="C34" s="95">
        <v>1942.75</v>
      </c>
      <c r="D34" s="88">
        <f t="shared" si="0"/>
        <v>1.2831985627717282E-2</v>
      </c>
      <c r="E34" s="53"/>
    </row>
    <row r="35" spans="1:7" ht="15.75" customHeight="1" x14ac:dyDescent="0.3">
      <c r="C35" s="95">
        <v>1919.98</v>
      </c>
      <c r="D35" s="88">
        <f t="shared" si="0"/>
        <v>9.610890570092113E-4</v>
      </c>
      <c r="E35" s="53"/>
    </row>
    <row r="36" spans="1:7" ht="15.75" customHeight="1" x14ac:dyDescent="0.3">
      <c r="C36" s="95">
        <v>1899.5</v>
      </c>
      <c r="D36" s="88">
        <f t="shared" si="0"/>
        <v>-9.7159404453228786E-3</v>
      </c>
      <c r="E36" s="53"/>
    </row>
    <row r="37" spans="1:7" ht="15.75" customHeight="1" x14ac:dyDescent="0.3">
      <c r="C37" s="95">
        <v>1933.5</v>
      </c>
      <c r="D37" s="88">
        <f t="shared" si="0"/>
        <v>8.0095968144081146E-3</v>
      </c>
      <c r="E37" s="53"/>
    </row>
    <row r="38" spans="1:7" ht="15.75" customHeight="1" x14ac:dyDescent="0.3">
      <c r="C38" s="95">
        <v>1898.74</v>
      </c>
      <c r="D38" s="88">
        <f t="shared" si="0"/>
        <v>-1.0112158337010979E-2</v>
      </c>
      <c r="E38" s="53"/>
    </row>
    <row r="39" spans="1:7" ht="15.75" customHeight="1" x14ac:dyDescent="0.3">
      <c r="C39" s="95">
        <v>1930.7</v>
      </c>
      <c r="D39" s="88">
        <f t="shared" si="0"/>
        <v>6.5498466871361741E-3</v>
      </c>
      <c r="E39" s="53"/>
    </row>
    <row r="40" spans="1:7" ht="15.75" customHeight="1" x14ac:dyDescent="0.3">
      <c r="C40" s="95">
        <v>1921.01</v>
      </c>
      <c r="D40" s="88">
        <f t="shared" si="0"/>
        <v>1.4980685681128124E-3</v>
      </c>
      <c r="E40" s="53"/>
    </row>
    <row r="41" spans="1:7" ht="15.75" customHeight="1" x14ac:dyDescent="0.3">
      <c r="C41" s="95">
        <v>1926.23</v>
      </c>
      <c r="D41" s="88">
        <f t="shared" si="0"/>
        <v>4.2194598768127024E-3</v>
      </c>
      <c r="E41" s="53"/>
    </row>
    <row r="42" spans="1:7" ht="15.75" customHeight="1" x14ac:dyDescent="0.3">
      <c r="C42" s="95">
        <v>1894.04</v>
      </c>
      <c r="D42" s="88">
        <f t="shared" si="0"/>
        <v>-1.2562453193503229E-2</v>
      </c>
      <c r="E42" s="53"/>
    </row>
    <row r="43" spans="1:7" ht="16.5" customHeight="1" x14ac:dyDescent="0.3">
      <c r="C43" s="96">
        <v>1920.11</v>
      </c>
      <c r="D43" s="89">
        <f t="shared" si="0"/>
        <v>1.0288631700610623E-3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38362.730000000003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1918.1365000000001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3">
        <f>C46</f>
        <v>1918.1365000000001</v>
      </c>
      <c r="C49" s="93">
        <f>-IF(C46&lt;=80,10%,IF(C46&lt;250,7.5%,5%))</f>
        <v>-0.05</v>
      </c>
      <c r="D49" s="81">
        <f>IF(C46&lt;=80,C46*0.9,IF(C46&lt;250,C46*0.925,C46*0.95))</f>
        <v>1822.229675</v>
      </c>
    </row>
    <row r="50" spans="1:6" ht="17.25" customHeight="1" x14ac:dyDescent="0.3">
      <c r="B50" s="664"/>
      <c r="C50" s="94">
        <f>IF(C46&lt;=80, 10%, IF(C46&lt;250, 7.5%, 5%))</f>
        <v>0.05</v>
      </c>
      <c r="D50" s="81">
        <f>IF(C46&lt;=80, C46*1.1, IF(C46&lt;250, C46*1.075, C46*1.05))</f>
        <v>2014.0433250000001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45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46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98"/>
    </row>
    <row r="16" spans="1:9" ht="19.5" customHeight="1" x14ac:dyDescent="0.3">
      <c r="A16" s="704" t="s">
        <v>31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47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100" t="s">
        <v>33</v>
      </c>
      <c r="B18" s="708" t="s">
        <v>5</v>
      </c>
      <c r="C18" s="708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03" t="s">
        <v>135</v>
      </c>
      <c r="C20" s="7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03" t="s">
        <v>11</v>
      </c>
      <c r="C21" s="703"/>
      <c r="D21" s="703"/>
      <c r="E21" s="703"/>
      <c r="F21" s="703"/>
      <c r="G21" s="703"/>
      <c r="H21" s="703"/>
      <c r="I21" s="104"/>
    </row>
    <row r="22" spans="1:14" ht="26.25" customHeight="1" x14ac:dyDescent="0.4">
      <c r="A22" s="100" t="s">
        <v>37</v>
      </c>
      <c r="B22" s="105">
        <v>43291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43306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3" t="s">
        <v>135</v>
      </c>
      <c r="C26" s="703"/>
    </row>
    <row r="27" spans="1:14" ht="26.25" customHeight="1" x14ac:dyDescent="0.4">
      <c r="A27" s="109" t="s">
        <v>48</v>
      </c>
      <c r="B27" s="709" t="s">
        <v>136</v>
      </c>
      <c r="C27" s="709"/>
    </row>
    <row r="28" spans="1:14" ht="27" customHeight="1" x14ac:dyDescent="0.4">
      <c r="A28" s="109" t="s">
        <v>6</v>
      </c>
      <c r="B28" s="110">
        <v>99.1</v>
      </c>
    </row>
    <row r="29" spans="1:14" s="14" customFormat="1" ht="27" customHeight="1" x14ac:dyDescent="0.4">
      <c r="A29" s="109" t="s">
        <v>49</v>
      </c>
      <c r="B29" s="111">
        <v>0</v>
      </c>
      <c r="C29" s="679" t="s">
        <v>50</v>
      </c>
      <c r="D29" s="680"/>
      <c r="E29" s="680"/>
      <c r="F29" s="680"/>
      <c r="G29" s="68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2" t="s">
        <v>53</v>
      </c>
      <c r="D31" s="683"/>
      <c r="E31" s="683"/>
      <c r="F31" s="683"/>
      <c r="G31" s="683"/>
      <c r="H31" s="68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2" t="s">
        <v>55</v>
      </c>
      <c r="D32" s="683"/>
      <c r="E32" s="683"/>
      <c r="F32" s="683"/>
      <c r="G32" s="683"/>
      <c r="H32" s="68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685" t="s">
        <v>59</v>
      </c>
      <c r="E36" s="710"/>
      <c r="F36" s="685" t="s">
        <v>60</v>
      </c>
      <c r="G36" s="68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506">
        <v>1389606</v>
      </c>
      <c r="E38" s="132">
        <f>IF(ISBLANK(D38),"-",$D$48/$D$45*D38)</f>
        <v>1437689.030391776</v>
      </c>
      <c r="F38" s="506">
        <v>1457963</v>
      </c>
      <c r="G38" s="133">
        <f>IF(ISBLANK(F38),"-",$D$48/$F$45*F38)</f>
        <v>1450891.3555331316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511">
        <v>1399352</v>
      </c>
      <c r="E39" s="137">
        <f>IF(ISBLANK(D39),"-",$D$48/$D$45*D39)</f>
        <v>1447772.2606672628</v>
      </c>
      <c r="F39" s="511">
        <v>1456063</v>
      </c>
      <c r="G39" s="138">
        <f>IF(ISBLANK(F39),"-",$D$48/$F$45*F39)</f>
        <v>1449000.5712158938</v>
      </c>
      <c r="I39" s="687">
        <f>ABS((F43/D43*D42)-F42)/D42</f>
        <v>2.3654832974929923E-3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511">
        <v>1411199</v>
      </c>
      <c r="E40" s="137">
        <f>IF(ISBLANK(D40),"-",$D$48/$D$45*D40)</f>
        <v>1460029.1895687294</v>
      </c>
      <c r="F40" s="511">
        <v>1442709</v>
      </c>
      <c r="G40" s="138">
        <f>IF(ISBLANK(F40),"-",$D$48/$F$45*F40)</f>
        <v>1435711.3429146342</v>
      </c>
      <c r="I40" s="687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1400052.3333333333</v>
      </c>
      <c r="E42" s="147">
        <f>AVERAGE(E38:E41)</f>
        <v>1448496.8268759225</v>
      </c>
      <c r="F42" s="146">
        <f>AVERAGE(F38:F41)</f>
        <v>1452245</v>
      </c>
      <c r="G42" s="148">
        <f>AVERAGE(G38:G41)</f>
        <v>1445201.0898878865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14.63</v>
      </c>
      <c r="E43" s="139"/>
      <c r="F43" s="151">
        <v>15.21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14.63</v>
      </c>
      <c r="E44" s="154"/>
      <c r="F44" s="153">
        <f>F43*$B$34</f>
        <v>15.21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125</v>
      </c>
      <c r="C45" s="152" t="s">
        <v>77</v>
      </c>
      <c r="D45" s="156">
        <f>D44*$B$30/100</f>
        <v>14.498330000000001</v>
      </c>
      <c r="E45" s="157"/>
      <c r="F45" s="156">
        <f>F44*$B$30/100</f>
        <v>15.07311</v>
      </c>
      <c r="H45" s="149"/>
    </row>
    <row r="46" spans="1:14" ht="19.5" customHeight="1" x14ac:dyDescent="0.3">
      <c r="A46" s="673" t="s">
        <v>78</v>
      </c>
      <c r="B46" s="674"/>
      <c r="C46" s="152" t="s">
        <v>79</v>
      </c>
      <c r="D46" s="158">
        <f>D45/$B$45</f>
        <v>0.11598664</v>
      </c>
      <c r="E46" s="159"/>
      <c r="F46" s="160">
        <f>F45/$B$45</f>
        <v>0.12058487999999999</v>
      </c>
      <c r="H46" s="149"/>
    </row>
    <row r="47" spans="1:14" ht="27" customHeight="1" x14ac:dyDescent="0.4">
      <c r="A47" s="675"/>
      <c r="B47" s="676"/>
      <c r="C47" s="161" t="s">
        <v>80</v>
      </c>
      <c r="D47" s="162">
        <v>0.12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1446848.9583819045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6.2088239878802234E-3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film coated tablet contains Tenofovir Disoproxil Fumarate 300 mg, Lamivudine USP 300 mg and Efavirenz USP 600 mg.</v>
      </c>
    </row>
    <row r="56" spans="1:12" ht="26.25" customHeight="1" x14ac:dyDescent="0.4">
      <c r="A56" s="176" t="s">
        <v>87</v>
      </c>
      <c r="B56" s="177">
        <v>300</v>
      </c>
      <c r="C56" s="99" t="str">
        <f>B20</f>
        <v xml:space="preserve">Tenofovir Disoproxil Fumarate </v>
      </c>
      <c r="H56" s="178"/>
    </row>
    <row r="57" spans="1:12" ht="18.75" x14ac:dyDescent="0.3">
      <c r="A57" s="175" t="s">
        <v>88</v>
      </c>
      <c r="B57" s="245">
        <f>Uniformity!C46</f>
        <v>1918.1365000000001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90" t="s">
        <v>94</v>
      </c>
      <c r="D60" s="693">
        <v>1903.73</v>
      </c>
      <c r="E60" s="181">
        <v>1</v>
      </c>
      <c r="F60" s="557">
        <v>1413330</v>
      </c>
      <c r="G60" s="246">
        <f>IF(ISBLANK(F60),"-",(F60/$D$50*$D$47*$B$68)*($B$57/$D$60))</f>
        <v>295.26759868766555</v>
      </c>
      <c r="H60" s="264">
        <f t="shared" ref="H60:H71" si="0">IF(ISBLANK(F60),"-",(G60/$B$56)*100)</f>
        <v>98.422532895888509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91"/>
      <c r="D61" s="694"/>
      <c r="E61" s="183">
        <v>2</v>
      </c>
      <c r="F61" s="511">
        <v>1415566</v>
      </c>
      <c r="G61" s="247">
        <f>IF(ISBLANK(F61),"-",(F61/$D$50*$D$47*$B$68)*($B$57/$D$60))</f>
        <v>295.73473541487408</v>
      </c>
      <c r="H61" s="265">
        <f t="shared" si="0"/>
        <v>98.578245138291365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1"/>
      <c r="D62" s="694"/>
      <c r="E62" s="183">
        <v>3</v>
      </c>
      <c r="F62" s="559">
        <v>1422186</v>
      </c>
      <c r="G62" s="247">
        <f>IF(ISBLANK(F62),"-",(F62/$D$50*$D$47*$B$68)*($B$57/$D$60))</f>
        <v>297.11776096680626</v>
      </c>
      <c r="H62" s="265">
        <f t="shared" si="0"/>
        <v>99.039253655602096</v>
      </c>
      <c r="L62" s="112"/>
    </row>
    <row r="63" spans="1:12" ht="27" customHeight="1" x14ac:dyDescent="0.4">
      <c r="A63" s="124" t="s">
        <v>97</v>
      </c>
      <c r="B63" s="125">
        <v>1</v>
      </c>
      <c r="C63" s="700"/>
      <c r="D63" s="695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0" t="s">
        <v>99</v>
      </c>
      <c r="D64" s="693">
        <v>1919.43</v>
      </c>
      <c r="E64" s="181">
        <v>1</v>
      </c>
      <c r="F64" s="182">
        <v>1395435</v>
      </c>
      <c r="G64" s="246">
        <f>IF(ISBLANK(F64),"-",(F64/$D$50*$D$47*$B$68)*($B$57/$D$64))</f>
        <v>289.14447726422856</v>
      </c>
      <c r="H64" s="264">
        <f t="shared" si="0"/>
        <v>96.381492421409519</v>
      </c>
    </row>
    <row r="65" spans="1:8" ht="26.25" customHeight="1" x14ac:dyDescent="0.4">
      <c r="A65" s="124" t="s">
        <v>100</v>
      </c>
      <c r="B65" s="125">
        <v>1</v>
      </c>
      <c r="C65" s="691"/>
      <c r="D65" s="694"/>
      <c r="E65" s="183">
        <v>2</v>
      </c>
      <c r="F65" s="136">
        <v>1398800</v>
      </c>
      <c r="G65" s="247">
        <f>IF(ISBLANK(F65),"-",(F65/$D$50*$D$47*$B$68)*($B$57/$D$64))</f>
        <v>289.84173021115487</v>
      </c>
      <c r="H65" s="265">
        <f t="shared" si="0"/>
        <v>96.613910070384961</v>
      </c>
    </row>
    <row r="66" spans="1:8" ht="26.25" customHeight="1" x14ac:dyDescent="0.4">
      <c r="A66" s="124" t="s">
        <v>101</v>
      </c>
      <c r="B66" s="125">
        <v>1</v>
      </c>
      <c r="C66" s="691"/>
      <c r="D66" s="694"/>
      <c r="E66" s="183">
        <v>3</v>
      </c>
      <c r="F66" s="136">
        <v>1400404</v>
      </c>
      <c r="G66" s="247">
        <f>IF(ISBLANK(F66),"-",(F66/$D$50*$D$47*$B$68)*($B$57/$D$64))</f>
        <v>290.17409090264664</v>
      </c>
      <c r="H66" s="265">
        <f t="shared" si="0"/>
        <v>96.72469696754888</v>
      </c>
    </row>
    <row r="67" spans="1:8" ht="27" customHeight="1" x14ac:dyDescent="0.4">
      <c r="A67" s="124" t="s">
        <v>102</v>
      </c>
      <c r="B67" s="125">
        <v>1</v>
      </c>
      <c r="C67" s="700"/>
      <c r="D67" s="695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6">
        <f>(B67/B66)*(B65/B64)*(B63/B62)*(B61/B60)*B59</f>
        <v>2500</v>
      </c>
      <c r="C68" s="690" t="s">
        <v>104</v>
      </c>
      <c r="D68" s="693">
        <v>1925.68</v>
      </c>
      <c r="E68" s="181">
        <v>1</v>
      </c>
      <c r="F68" s="182">
        <v>1423524</v>
      </c>
      <c r="G68" s="246">
        <f>IF(ISBLANK(F68),"-",(F68/$D$50*$D$47*$B$68)*($B$57/$D$68))</f>
        <v>294.00738680045373</v>
      </c>
      <c r="H68" s="265">
        <f t="shared" si="0"/>
        <v>98.002462266817915</v>
      </c>
    </row>
    <row r="69" spans="1:8" ht="27" customHeight="1" x14ac:dyDescent="0.4">
      <c r="A69" s="171" t="s">
        <v>105</v>
      </c>
      <c r="B69" s="187">
        <f>(D47*B68)/B56*B57</f>
        <v>1918.1365000000001</v>
      </c>
      <c r="C69" s="691"/>
      <c r="D69" s="694"/>
      <c r="E69" s="183">
        <v>2</v>
      </c>
      <c r="F69" s="136">
        <v>1430585</v>
      </c>
      <c r="G69" s="247">
        <f>IF(ISBLANK(F69),"-",(F69/$D$50*$D$47*$B$68)*($B$57/$D$68))</f>
        <v>295.46572972842546</v>
      </c>
      <c r="H69" s="265">
        <f t="shared" si="0"/>
        <v>98.488576576141824</v>
      </c>
    </row>
    <row r="70" spans="1:8" ht="26.25" customHeight="1" x14ac:dyDescent="0.4">
      <c r="A70" s="696" t="s">
        <v>78</v>
      </c>
      <c r="B70" s="697"/>
      <c r="C70" s="691"/>
      <c r="D70" s="694"/>
      <c r="E70" s="183">
        <v>3</v>
      </c>
      <c r="F70" s="136">
        <v>1411298</v>
      </c>
      <c r="G70" s="247">
        <f>IF(ISBLANK(F70),"-",(F70/$D$50*$D$47*$B$68)*($B$57/$D$68))</f>
        <v>291.48229111466105</v>
      </c>
      <c r="H70" s="265">
        <f t="shared" si="0"/>
        <v>97.160763704887017</v>
      </c>
    </row>
    <row r="71" spans="1:8" ht="27" customHeight="1" x14ac:dyDescent="0.4">
      <c r="A71" s="698"/>
      <c r="B71" s="699"/>
      <c r="C71" s="692"/>
      <c r="D71" s="695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90" t="s">
        <v>71</v>
      </c>
      <c r="G72" s="252">
        <f>AVERAGE(G60:G71)</f>
        <v>293.13731123232407</v>
      </c>
      <c r="H72" s="267">
        <f>AVERAGE(H60:H71)</f>
        <v>97.712437077441336</v>
      </c>
    </row>
    <row r="73" spans="1:8" ht="26.25" customHeight="1" x14ac:dyDescent="0.4">
      <c r="C73" s="188"/>
      <c r="D73" s="188"/>
      <c r="E73" s="188"/>
      <c r="F73" s="191" t="s">
        <v>84</v>
      </c>
      <c r="G73" s="251">
        <f>STDEV(G60:G71)/G72</f>
        <v>1.0207826425890966E-2</v>
      </c>
      <c r="H73" s="251">
        <f>STDEV(H60:H71)/H72</f>
        <v>1.020782642589098E-2</v>
      </c>
    </row>
    <row r="74" spans="1:8" ht="27" customHeight="1" x14ac:dyDescent="0.4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8" t="s">
        <v>106</v>
      </c>
      <c r="B76" s="195" t="s">
        <v>107</v>
      </c>
      <c r="C76" s="677" t="str">
        <f>B26</f>
        <v xml:space="preserve">Tenofovir Disoproxil Fumarate </v>
      </c>
      <c r="D76" s="677"/>
      <c r="E76" s="196" t="s">
        <v>108</v>
      </c>
      <c r="F76" s="196"/>
      <c r="G76" s="283">
        <f>H72</f>
        <v>97.712437077441336</v>
      </c>
      <c r="H76" s="198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11" t="str">
        <f>B26</f>
        <v xml:space="preserve">Tenofovir Disoproxil Fumarate </v>
      </c>
      <c r="C79" s="711"/>
    </row>
    <row r="80" spans="1:8" ht="26.25" customHeight="1" x14ac:dyDescent="0.4">
      <c r="A80" s="109" t="s">
        <v>48</v>
      </c>
      <c r="B80" s="711" t="str">
        <f>B27</f>
        <v>T11-12</v>
      </c>
      <c r="C80" s="711"/>
    </row>
    <row r="81" spans="1:12" ht="27" customHeight="1" x14ac:dyDescent="0.4">
      <c r="A81" s="109" t="s">
        <v>6</v>
      </c>
      <c r="B81" s="199">
        <f>B28</f>
        <v>99.1</v>
      </c>
    </row>
    <row r="82" spans="1:12" s="14" customFormat="1" ht="27" customHeight="1" x14ac:dyDescent="0.4">
      <c r="A82" s="109" t="s">
        <v>49</v>
      </c>
      <c r="B82" s="111">
        <v>0</v>
      </c>
      <c r="C82" s="679" t="s">
        <v>50</v>
      </c>
      <c r="D82" s="680"/>
      <c r="E82" s="680"/>
      <c r="F82" s="680"/>
      <c r="G82" s="68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99.1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2" t="s">
        <v>111</v>
      </c>
      <c r="D84" s="683"/>
      <c r="E84" s="683"/>
      <c r="F84" s="683"/>
      <c r="G84" s="683"/>
      <c r="H84" s="68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2" t="s">
        <v>112</v>
      </c>
      <c r="D85" s="683"/>
      <c r="E85" s="683"/>
      <c r="F85" s="683"/>
      <c r="G85" s="683"/>
      <c r="H85" s="68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0" t="s">
        <v>59</v>
      </c>
      <c r="E89" s="201"/>
      <c r="F89" s="685" t="s">
        <v>60</v>
      </c>
      <c r="G89" s="686"/>
    </row>
    <row r="90" spans="1:12" ht="27" customHeight="1" x14ac:dyDescent="0.4">
      <c r="A90" s="124" t="s">
        <v>61</v>
      </c>
      <c r="B90" s="125">
        <v>1</v>
      </c>
      <c r="C90" s="202" t="s">
        <v>62</v>
      </c>
      <c r="D90" s="127" t="s">
        <v>63</v>
      </c>
      <c r="E90" s="128" t="s">
        <v>64</v>
      </c>
      <c r="F90" s="127" t="s">
        <v>63</v>
      </c>
      <c r="G90" s="203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4">
        <v>1</v>
      </c>
      <c r="D91" s="506">
        <v>3090191</v>
      </c>
      <c r="E91" s="132">
        <f>IF(ISBLANK(D91),"-",$D$101/$D$98*D91)</f>
        <v>3228007.5545332422</v>
      </c>
      <c r="F91" s="506">
        <v>3180622</v>
      </c>
      <c r="G91" s="133">
        <f>IF(ISBLANK(F91),"-",$D$101/$F$98*F91)</f>
        <v>3194599.4374051266</v>
      </c>
      <c r="I91" s="134"/>
    </row>
    <row r="92" spans="1:12" ht="26.25" customHeight="1" x14ac:dyDescent="0.4">
      <c r="A92" s="124" t="s">
        <v>67</v>
      </c>
      <c r="B92" s="125">
        <v>1</v>
      </c>
      <c r="C92" s="189">
        <v>2</v>
      </c>
      <c r="D92" s="511">
        <v>3097023</v>
      </c>
      <c r="E92" s="137">
        <f>IF(ISBLANK(D92),"-",$D$101/$D$98*D92)</f>
        <v>3235144.2485474865</v>
      </c>
      <c r="F92" s="511">
        <v>3186205</v>
      </c>
      <c r="G92" s="138">
        <f>IF(ISBLANK(F92),"-",$D$101/$F$98*F92)</f>
        <v>3200206.9722392042</v>
      </c>
      <c r="I92" s="687">
        <f>ABS((F96/D96*D95)-F95)/D95</f>
        <v>1.1307407281582242E-2</v>
      </c>
    </row>
    <row r="93" spans="1:12" ht="26.25" customHeight="1" x14ac:dyDescent="0.4">
      <c r="A93" s="124" t="s">
        <v>68</v>
      </c>
      <c r="B93" s="125">
        <v>1</v>
      </c>
      <c r="C93" s="189">
        <v>3</v>
      </c>
      <c r="D93" s="511">
        <v>3101371</v>
      </c>
      <c r="E93" s="137">
        <f>IF(ISBLANK(D93),"-",$D$101/$D$98*D93)</f>
        <v>3239686.1609558491</v>
      </c>
      <c r="F93" s="511">
        <v>3188528</v>
      </c>
      <c r="G93" s="138">
        <f>IF(ISBLANK(F93),"-",$D$101/$F$98*F93)</f>
        <v>3202540.1808044128</v>
      </c>
      <c r="I93" s="687"/>
    </row>
    <row r="94" spans="1:12" ht="27" customHeight="1" x14ac:dyDescent="0.4">
      <c r="A94" s="124" t="s">
        <v>69</v>
      </c>
      <c r="B94" s="125">
        <v>1</v>
      </c>
      <c r="C94" s="205">
        <v>4</v>
      </c>
      <c r="D94" s="141"/>
      <c r="E94" s="142" t="str">
        <f>IF(ISBLANK(D94),"-",$D$101/$D$98*D94)</f>
        <v>-</v>
      </c>
      <c r="F94" s="206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7" t="s">
        <v>71</v>
      </c>
      <c r="D95" s="208">
        <f>AVERAGE(D91:D94)</f>
        <v>3096195</v>
      </c>
      <c r="E95" s="147">
        <f>AVERAGE(E91:E94)</f>
        <v>3234279.3213455253</v>
      </c>
      <c r="F95" s="209">
        <f>AVERAGE(F91:F94)</f>
        <v>3185118.3333333335</v>
      </c>
      <c r="G95" s="210">
        <f>AVERAGE(G91:G94)</f>
        <v>3199115.5301495814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14.49</v>
      </c>
      <c r="E96" s="139"/>
      <c r="F96" s="151">
        <v>15.07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14.49</v>
      </c>
      <c r="E97" s="154"/>
      <c r="F97" s="153">
        <f>F96*$B$87</f>
        <v>15.07</v>
      </c>
    </row>
    <row r="98" spans="1:10" ht="19.5" customHeight="1" x14ac:dyDescent="0.3">
      <c r="A98" s="124" t="s">
        <v>76</v>
      </c>
      <c r="B98" s="215">
        <f>(B97/B96)*(B95/B94)*(B93/B92)*(B91/B90)*B89</f>
        <v>50</v>
      </c>
      <c r="C98" s="213" t="s">
        <v>115</v>
      </c>
      <c r="D98" s="216">
        <f>D97*$B$83/100</f>
        <v>14.359589999999999</v>
      </c>
      <c r="E98" s="157"/>
      <c r="F98" s="156">
        <f>F97*$B$83/100</f>
        <v>14.934369999999999</v>
      </c>
    </row>
    <row r="99" spans="1:10" ht="19.5" customHeight="1" x14ac:dyDescent="0.3">
      <c r="A99" s="673" t="s">
        <v>78</v>
      </c>
      <c r="B99" s="688"/>
      <c r="C99" s="213" t="s">
        <v>116</v>
      </c>
      <c r="D99" s="217">
        <f>D98/$B$98</f>
        <v>0.2871918</v>
      </c>
      <c r="E99" s="157"/>
      <c r="F99" s="160">
        <f>F98/$B$98</f>
        <v>0.29868739999999999</v>
      </c>
      <c r="G99" s="218"/>
      <c r="H99" s="149"/>
    </row>
    <row r="100" spans="1:10" ht="19.5" customHeight="1" x14ac:dyDescent="0.3">
      <c r="A100" s="675"/>
      <c r="B100" s="689"/>
      <c r="C100" s="213" t="s">
        <v>80</v>
      </c>
      <c r="D100" s="219">
        <f>$B$56/$B$116</f>
        <v>0.3</v>
      </c>
      <c r="F100" s="165"/>
      <c r="G100" s="220"/>
      <c r="H100" s="149"/>
    </row>
    <row r="101" spans="1:10" ht="18.75" x14ac:dyDescent="0.3">
      <c r="C101" s="213" t="s">
        <v>81</v>
      </c>
      <c r="D101" s="214">
        <f>D100*$B$98</f>
        <v>15</v>
      </c>
      <c r="F101" s="165"/>
      <c r="G101" s="218"/>
      <c r="H101" s="149"/>
    </row>
    <row r="102" spans="1:10" ht="19.5" customHeight="1" x14ac:dyDescent="0.3">
      <c r="C102" s="221" t="s">
        <v>82</v>
      </c>
      <c r="D102" s="222">
        <f>D101/B34</f>
        <v>15</v>
      </c>
      <c r="F102" s="169"/>
      <c r="G102" s="218"/>
      <c r="H102" s="149"/>
      <c r="J102" s="223"/>
    </row>
    <row r="103" spans="1:10" ht="18.75" x14ac:dyDescent="0.3">
      <c r="C103" s="224" t="s">
        <v>117</v>
      </c>
      <c r="D103" s="225">
        <f>AVERAGE(E91:E94,G91:G94)</f>
        <v>3216697.4257475534</v>
      </c>
      <c r="F103" s="169"/>
      <c r="G103" s="226"/>
      <c r="H103" s="149"/>
      <c r="J103" s="227"/>
    </row>
    <row r="104" spans="1:10" ht="18.75" x14ac:dyDescent="0.3">
      <c r="C104" s="191" t="s">
        <v>84</v>
      </c>
      <c r="D104" s="228">
        <f>STDEV(E91:E94,G91:G94)/D103</f>
        <v>6.1509365330027609E-3</v>
      </c>
      <c r="F104" s="169"/>
      <c r="G104" s="218"/>
      <c r="H104" s="149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1</v>
      </c>
      <c r="C108" s="273">
        <v>1</v>
      </c>
      <c r="D108" s="274">
        <v>3228300</v>
      </c>
      <c r="E108" s="248">
        <f t="shared" ref="E108:E113" si="1">IF(ISBLANK(D108),"-",D108/$D$103*$D$100*$B$116)</f>
        <v>301.08209502325974</v>
      </c>
      <c r="F108" s="275">
        <f t="shared" ref="F108:F113" si="2">IF(ISBLANK(D108), "-", (E108/$B$56)*100)</f>
        <v>100.36069834108659</v>
      </c>
    </row>
    <row r="109" spans="1:10" ht="26.25" customHeight="1" x14ac:dyDescent="0.4">
      <c r="A109" s="124" t="s">
        <v>95</v>
      </c>
      <c r="B109" s="125">
        <v>1</v>
      </c>
      <c r="C109" s="269">
        <v>2</v>
      </c>
      <c r="D109" s="271">
        <v>3261871</v>
      </c>
      <c r="E109" s="249">
        <f t="shared" si="1"/>
        <v>304.21303917715682</v>
      </c>
      <c r="F109" s="276">
        <f t="shared" si="2"/>
        <v>101.40434639238561</v>
      </c>
    </row>
    <row r="110" spans="1:10" ht="26.25" customHeight="1" x14ac:dyDescent="0.4">
      <c r="A110" s="124" t="s">
        <v>96</v>
      </c>
      <c r="B110" s="125">
        <v>1</v>
      </c>
      <c r="C110" s="269">
        <v>3</v>
      </c>
      <c r="D110" s="271">
        <v>3208204</v>
      </c>
      <c r="E110" s="249">
        <f t="shared" si="1"/>
        <v>299.20787460335225</v>
      </c>
      <c r="F110" s="276">
        <f t="shared" si="2"/>
        <v>99.735958201117413</v>
      </c>
    </row>
    <row r="111" spans="1:10" ht="26.25" customHeight="1" x14ac:dyDescent="0.4">
      <c r="A111" s="124" t="s">
        <v>97</v>
      </c>
      <c r="B111" s="125">
        <v>1</v>
      </c>
      <c r="C111" s="269">
        <v>4</v>
      </c>
      <c r="D111" s="271">
        <v>3244761</v>
      </c>
      <c r="E111" s="249">
        <f t="shared" si="1"/>
        <v>302.61730314089999</v>
      </c>
      <c r="F111" s="276">
        <f t="shared" si="2"/>
        <v>100.87243438030001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71">
        <v>3274465</v>
      </c>
      <c r="E112" s="249">
        <f t="shared" si="1"/>
        <v>305.38759789373302</v>
      </c>
      <c r="F112" s="276">
        <f t="shared" si="2"/>
        <v>101.79586596457769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72">
        <v>3190144</v>
      </c>
      <c r="E113" s="250">
        <f t="shared" si="1"/>
        <v>297.5235383780572</v>
      </c>
      <c r="F113" s="277">
        <f t="shared" si="2"/>
        <v>99.174512792685732</v>
      </c>
    </row>
    <row r="114" spans="1:10" ht="27" customHeight="1" x14ac:dyDescent="0.4">
      <c r="A114" s="124" t="s">
        <v>101</v>
      </c>
      <c r="B114" s="125">
        <v>1</v>
      </c>
      <c r="C114" s="231"/>
      <c r="D114" s="189"/>
      <c r="E114" s="98"/>
      <c r="F114" s="278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301.6719080360765</v>
      </c>
      <c r="F115" s="279">
        <f>AVERAGE(F108:F113)</f>
        <v>100.55730267869217</v>
      </c>
    </row>
    <row r="116" spans="1:10" ht="27" customHeight="1" x14ac:dyDescent="0.4">
      <c r="A116" s="124" t="s">
        <v>103</v>
      </c>
      <c r="B116" s="155">
        <f>(B115/B114)*(B113/B112)*(B111/B110)*(B109/B108)*B107</f>
        <v>1000</v>
      </c>
      <c r="C116" s="232"/>
      <c r="D116" s="256" t="s">
        <v>84</v>
      </c>
      <c r="E116" s="254">
        <f>STDEV(E108:E113)/E115</f>
        <v>9.9208802149445725E-3</v>
      </c>
      <c r="F116" s="233">
        <f>STDEV(F108:F113)/F115</f>
        <v>9.9208802149446159E-3</v>
      </c>
      <c r="I116" s="98"/>
    </row>
    <row r="117" spans="1:10" ht="27" customHeight="1" x14ac:dyDescent="0.4">
      <c r="A117" s="673" t="s">
        <v>78</v>
      </c>
      <c r="B117" s="674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675"/>
      <c r="B118" s="676"/>
      <c r="C118" s="98"/>
      <c r="D118" s="258"/>
      <c r="E118" s="701" t="s">
        <v>123</v>
      </c>
      <c r="F118" s="702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297.5235383780572</v>
      </c>
      <c r="F119" s="280">
        <f>MIN(F108:F113)</f>
        <v>99.174512792685732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6" t="s">
        <v>125</v>
      </c>
      <c r="E120" s="262">
        <f>MAX(E108:E113)</f>
        <v>305.38759789373302</v>
      </c>
      <c r="F120" s="281">
        <f>MAX(F108:F113)</f>
        <v>101.79586596457769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89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89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89"/>
      <c r="G123" s="98"/>
      <c r="H123" s="98"/>
      <c r="I123" s="98"/>
    </row>
    <row r="124" spans="1:10" ht="45.75" customHeight="1" x14ac:dyDescent="0.65">
      <c r="A124" s="108" t="s">
        <v>106</v>
      </c>
      <c r="B124" s="195" t="s">
        <v>126</v>
      </c>
      <c r="C124" s="677" t="str">
        <f>B26</f>
        <v xml:space="preserve">Tenofovir Disoproxil Fumarate </v>
      </c>
      <c r="D124" s="677"/>
      <c r="E124" s="196" t="s">
        <v>127</v>
      </c>
      <c r="F124" s="196"/>
      <c r="G124" s="282">
        <f>F115</f>
        <v>100.55730267869217</v>
      </c>
      <c r="H124" s="98"/>
      <c r="I124" s="98"/>
    </row>
    <row r="125" spans="1:10" ht="45.75" customHeight="1" x14ac:dyDescent="0.65">
      <c r="A125" s="108"/>
      <c r="B125" s="195" t="s">
        <v>128</v>
      </c>
      <c r="C125" s="109" t="s">
        <v>129</v>
      </c>
      <c r="D125" s="282">
        <f>MIN(F108:F113)</f>
        <v>99.174512792685732</v>
      </c>
      <c r="E125" s="207" t="s">
        <v>130</v>
      </c>
      <c r="F125" s="282">
        <f>MAX(F108:F113)</f>
        <v>101.79586596457769</v>
      </c>
      <c r="G125" s="197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678" t="s">
        <v>26</v>
      </c>
      <c r="C127" s="678"/>
      <c r="E127" s="202" t="s">
        <v>27</v>
      </c>
      <c r="F127" s="237"/>
      <c r="G127" s="678" t="s">
        <v>28</v>
      </c>
      <c r="H127" s="678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88"/>
      <c r="B130" s="188"/>
      <c r="C130" s="189"/>
      <c r="D130" s="189"/>
      <c r="E130" s="189"/>
      <c r="F130" s="192"/>
      <c r="G130" s="189"/>
      <c r="H130" s="189"/>
      <c r="I130" s="98"/>
    </row>
    <row r="131" spans="1:9" ht="18.75" x14ac:dyDescent="0.3">
      <c r="A131" s="188"/>
      <c r="B131" s="188"/>
      <c r="C131" s="189"/>
      <c r="D131" s="189"/>
      <c r="E131" s="189"/>
      <c r="F131" s="192"/>
      <c r="G131" s="189"/>
      <c r="H131" s="189"/>
      <c r="I131" s="98"/>
    </row>
    <row r="132" spans="1:9" ht="18.75" x14ac:dyDescent="0.3">
      <c r="A132" s="188"/>
      <c r="B132" s="188"/>
      <c r="C132" s="189"/>
      <c r="D132" s="189"/>
      <c r="E132" s="189"/>
      <c r="F132" s="192"/>
      <c r="G132" s="189"/>
      <c r="H132" s="189"/>
      <c r="I132" s="98"/>
    </row>
    <row r="133" spans="1:9" ht="18.75" x14ac:dyDescent="0.3">
      <c r="A133" s="188"/>
      <c r="B133" s="188"/>
      <c r="C133" s="189"/>
      <c r="D133" s="189"/>
      <c r="E133" s="189"/>
      <c r="F133" s="192"/>
      <c r="G133" s="189"/>
      <c r="H133" s="189"/>
      <c r="I133" s="98"/>
    </row>
    <row r="134" spans="1:9" ht="18.75" x14ac:dyDescent="0.3">
      <c r="A134" s="188"/>
      <c r="B134" s="188"/>
      <c r="C134" s="189"/>
      <c r="D134" s="189"/>
      <c r="E134" s="189"/>
      <c r="F134" s="192"/>
      <c r="G134" s="189"/>
      <c r="H134" s="189"/>
      <c r="I134" s="98"/>
    </row>
    <row r="135" spans="1:9" ht="18.75" x14ac:dyDescent="0.3">
      <c r="A135" s="188"/>
      <c r="B135" s="188"/>
      <c r="C135" s="189"/>
      <c r="D135" s="189"/>
      <c r="E135" s="189"/>
      <c r="F135" s="192"/>
      <c r="G135" s="189"/>
      <c r="H135" s="189"/>
      <c r="I135" s="98"/>
    </row>
    <row r="136" spans="1:9" ht="18.75" x14ac:dyDescent="0.3">
      <c r="A136" s="188"/>
      <c r="B136" s="188"/>
      <c r="C136" s="189"/>
      <c r="D136" s="189"/>
      <c r="E136" s="189"/>
      <c r="F136" s="192"/>
      <c r="G136" s="189"/>
      <c r="H136" s="189"/>
      <c r="I136" s="98"/>
    </row>
    <row r="137" spans="1:9" ht="18.75" x14ac:dyDescent="0.3">
      <c r="A137" s="188"/>
      <c r="B137" s="188"/>
      <c r="C137" s="189"/>
      <c r="D137" s="189"/>
      <c r="E137" s="189"/>
      <c r="F137" s="192"/>
      <c r="G137" s="189"/>
      <c r="H137" s="189"/>
      <c r="I137" s="98"/>
    </row>
    <row r="138" spans="1:9" ht="18.75" x14ac:dyDescent="0.3">
      <c r="A138" s="188"/>
      <c r="B138" s="188"/>
      <c r="C138" s="189"/>
      <c r="D138" s="189"/>
      <c r="E138" s="189"/>
      <c r="F138" s="192"/>
      <c r="G138" s="189"/>
      <c r="H138" s="189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45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46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284"/>
    </row>
    <row r="16" spans="1:9" ht="19.5" customHeight="1" x14ac:dyDescent="0.3">
      <c r="A16" s="704" t="s">
        <v>31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47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286" t="s">
        <v>33</v>
      </c>
      <c r="B18" s="708" t="s">
        <v>5</v>
      </c>
      <c r="C18" s="708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703" t="s">
        <v>133</v>
      </c>
      <c r="C20" s="703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703" t="s">
        <v>11</v>
      </c>
      <c r="C21" s="703"/>
      <c r="D21" s="703"/>
      <c r="E21" s="703"/>
      <c r="F21" s="703"/>
      <c r="G21" s="703"/>
      <c r="H21" s="703"/>
      <c r="I21" s="290"/>
    </row>
    <row r="22" spans="1:14" ht="26.25" customHeight="1" x14ac:dyDescent="0.4">
      <c r="A22" s="286" t="s">
        <v>37</v>
      </c>
      <c r="B22" s="291">
        <v>43291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479">
        <v>43306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703" t="s">
        <v>133</v>
      </c>
      <c r="C26" s="703"/>
    </row>
    <row r="27" spans="1:14" ht="26.25" customHeight="1" x14ac:dyDescent="0.4">
      <c r="A27" s="295" t="s">
        <v>48</v>
      </c>
      <c r="B27" s="709" t="s">
        <v>134</v>
      </c>
      <c r="C27" s="709"/>
    </row>
    <row r="28" spans="1:14" ht="27" customHeight="1" x14ac:dyDescent="0.4">
      <c r="A28" s="295" t="s">
        <v>6</v>
      </c>
      <c r="B28" s="296">
        <v>98.9</v>
      </c>
    </row>
    <row r="29" spans="1:14" s="14" customFormat="1" ht="27" customHeight="1" x14ac:dyDescent="0.4">
      <c r="A29" s="295" t="s">
        <v>49</v>
      </c>
      <c r="B29" s="297">
        <v>0</v>
      </c>
      <c r="C29" s="679" t="s">
        <v>50</v>
      </c>
      <c r="D29" s="680"/>
      <c r="E29" s="680"/>
      <c r="F29" s="680"/>
      <c r="G29" s="681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98.9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682" t="s">
        <v>53</v>
      </c>
      <c r="D31" s="683"/>
      <c r="E31" s="683"/>
      <c r="F31" s="683"/>
      <c r="G31" s="683"/>
      <c r="H31" s="684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682" t="s">
        <v>55</v>
      </c>
      <c r="D32" s="683"/>
      <c r="E32" s="683"/>
      <c r="F32" s="683"/>
      <c r="G32" s="683"/>
      <c r="H32" s="684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50</v>
      </c>
      <c r="C36" s="285"/>
      <c r="D36" s="685" t="s">
        <v>59</v>
      </c>
      <c r="E36" s="710"/>
      <c r="F36" s="685" t="s">
        <v>60</v>
      </c>
      <c r="G36" s="686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10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25</v>
      </c>
      <c r="C38" s="317">
        <v>1</v>
      </c>
      <c r="D38" s="318">
        <v>2993052</v>
      </c>
      <c r="E38" s="319">
        <f>IF(ISBLANK(D38),"-",$D$48/$D$45*D38)</f>
        <v>2784977.0791590931</v>
      </c>
      <c r="F38" s="318">
        <v>2828443</v>
      </c>
      <c r="G38" s="320">
        <f>IF(ISBLANK(F38),"-",$D$48/$F$45*F38)</f>
        <v>2850400.5858463026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3011013</v>
      </c>
      <c r="E39" s="324">
        <f>IF(ISBLANK(D39),"-",$D$48/$D$45*D39)</f>
        <v>2801689.4427661328</v>
      </c>
      <c r="F39" s="323">
        <v>2821984</v>
      </c>
      <c r="G39" s="325">
        <f>IF(ISBLANK(F39),"-",$D$48/$F$45*F39)</f>
        <v>2843891.4437550595</v>
      </c>
      <c r="I39" s="687">
        <f>ABS((F43/D43*D42)-F42)/D42</f>
        <v>1.4178707576535891E-2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3011586</v>
      </c>
      <c r="E40" s="324">
        <f>IF(ISBLANK(D40),"-",$D$48/$D$45*D40)</f>
        <v>2802222.6081993952</v>
      </c>
      <c r="F40" s="323">
        <v>2801670</v>
      </c>
      <c r="G40" s="325">
        <f>IF(ISBLANK(F40),"-",$D$48/$F$45*F40)</f>
        <v>2823419.7434235052</v>
      </c>
      <c r="I40" s="687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3005217</v>
      </c>
      <c r="E42" s="334">
        <f>AVERAGE(E38:E41)</f>
        <v>2796296.3767082072</v>
      </c>
      <c r="F42" s="333">
        <f>AVERAGE(F38:F41)</f>
        <v>2817365.6666666665</v>
      </c>
      <c r="G42" s="335">
        <f>AVERAGE(G38:G41)</f>
        <v>2839237.2576749553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16.3</v>
      </c>
      <c r="E43" s="326"/>
      <c r="F43" s="338">
        <v>15.05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16.3</v>
      </c>
      <c r="E44" s="341"/>
      <c r="F44" s="340">
        <f>F43*$B$34</f>
        <v>15.05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125</v>
      </c>
      <c r="C45" s="339" t="s">
        <v>77</v>
      </c>
      <c r="D45" s="343">
        <f>D44*$B$30/100</f>
        <v>16.120700000000003</v>
      </c>
      <c r="E45" s="344"/>
      <c r="F45" s="343">
        <f>F44*$B$30/100</f>
        <v>14.884450000000001</v>
      </c>
      <c r="H45" s="336"/>
    </row>
    <row r="46" spans="1:14" ht="19.5" customHeight="1" x14ac:dyDescent="0.3">
      <c r="A46" s="673" t="s">
        <v>78</v>
      </c>
      <c r="B46" s="674"/>
      <c r="C46" s="339" t="s">
        <v>79</v>
      </c>
      <c r="D46" s="345">
        <f>D45/$B$45</f>
        <v>0.12896560000000001</v>
      </c>
      <c r="E46" s="346"/>
      <c r="F46" s="347">
        <f>F45/$B$45</f>
        <v>0.1190756</v>
      </c>
      <c r="H46" s="336"/>
    </row>
    <row r="47" spans="1:14" ht="27" customHeight="1" x14ac:dyDescent="0.4">
      <c r="A47" s="675"/>
      <c r="B47" s="676"/>
      <c r="C47" s="348" t="s">
        <v>80</v>
      </c>
      <c r="D47" s="349">
        <v>0.12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15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15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2817766.8171915817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9.1925473778440309E-3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film coated tablet contains Tenofovir Disoproxil Fumarate 300 mg, Lamivudine USP 300 mg and Efavirenz USP 600 mg.</v>
      </c>
    </row>
    <row r="56" spans="1:12" ht="26.25" customHeight="1" x14ac:dyDescent="0.4">
      <c r="A56" s="363" t="s">
        <v>87</v>
      </c>
      <c r="B56" s="364">
        <v>300</v>
      </c>
      <c r="C56" s="285" t="str">
        <f>B20</f>
        <v xml:space="preserve"> Lamivudine</v>
      </c>
      <c r="H56" s="365"/>
    </row>
    <row r="57" spans="1:12" ht="18.75" x14ac:dyDescent="0.3">
      <c r="A57" s="362" t="s">
        <v>88</v>
      </c>
      <c r="B57" s="433">
        <f>Uniformity!C46</f>
        <v>1918.1365000000001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200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4</v>
      </c>
      <c r="C60" s="690" t="s">
        <v>94</v>
      </c>
      <c r="D60" s="693">
        <v>1903.73</v>
      </c>
      <c r="E60" s="368">
        <v>1</v>
      </c>
      <c r="F60" s="369">
        <v>2562190</v>
      </c>
      <c r="G60" s="434">
        <f>IF(ISBLANK(F60),"-",(F60/$D$50*$D$47*$B$68)*($B$57/$D$60))</f>
        <v>274.85376593256052</v>
      </c>
      <c r="H60" s="452">
        <f t="shared" ref="H60:H71" si="0">IF(ISBLANK(F60),"-",(G60/$B$56)*100)</f>
        <v>91.617921977520183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691"/>
      <c r="D61" s="694"/>
      <c r="E61" s="370">
        <v>2</v>
      </c>
      <c r="F61" s="323">
        <v>2576240</v>
      </c>
      <c r="G61" s="435">
        <f>IF(ISBLANK(F61),"-",(F61/$D$50*$D$47*$B$68)*($B$57/$D$60))</f>
        <v>276.36095135259279</v>
      </c>
      <c r="H61" s="453">
        <f t="shared" si="0"/>
        <v>92.120317117530931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691"/>
      <c r="D62" s="694"/>
      <c r="E62" s="370">
        <v>3</v>
      </c>
      <c r="F62" s="371">
        <v>2585334</v>
      </c>
      <c r="G62" s="435">
        <f>IF(ISBLANK(F62),"-",(F62/$D$50*$D$47*$B$68)*($B$57/$D$60))</f>
        <v>277.33649186574394</v>
      </c>
      <c r="H62" s="453">
        <f t="shared" si="0"/>
        <v>92.445497288581308</v>
      </c>
      <c r="L62" s="298"/>
    </row>
    <row r="63" spans="1:12" ht="27" customHeight="1" x14ac:dyDescent="0.4">
      <c r="A63" s="310" t="s">
        <v>97</v>
      </c>
      <c r="B63" s="311">
        <v>1</v>
      </c>
      <c r="C63" s="700"/>
      <c r="D63" s="695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690" t="s">
        <v>99</v>
      </c>
      <c r="D64" s="693">
        <v>1919.43</v>
      </c>
      <c r="E64" s="368">
        <v>1</v>
      </c>
      <c r="F64" s="369"/>
      <c r="G64" s="434" t="str">
        <f>IF(ISBLANK(F64),"-",(F64/$D$50*$D$47*$B$68)*($B$57/$D$64))</f>
        <v>-</v>
      </c>
      <c r="H64" s="452" t="str">
        <f t="shared" si="0"/>
        <v>-</v>
      </c>
    </row>
    <row r="65" spans="1:8" ht="26.25" customHeight="1" x14ac:dyDescent="0.4">
      <c r="A65" s="310" t="s">
        <v>100</v>
      </c>
      <c r="B65" s="311">
        <v>1</v>
      </c>
      <c r="C65" s="691"/>
      <c r="D65" s="694"/>
      <c r="E65" s="370">
        <v>2</v>
      </c>
      <c r="F65" s="323"/>
      <c r="G65" s="435" t="str">
        <f>IF(ISBLANK(F65),"-",(F65/$D$50*$D$47*$B$68)*($B$57/$D$64))</f>
        <v>-</v>
      </c>
      <c r="H65" s="453" t="str">
        <f t="shared" si="0"/>
        <v>-</v>
      </c>
    </row>
    <row r="66" spans="1:8" ht="26.25" customHeight="1" x14ac:dyDescent="0.4">
      <c r="A66" s="310" t="s">
        <v>101</v>
      </c>
      <c r="B66" s="311">
        <v>1</v>
      </c>
      <c r="C66" s="691"/>
      <c r="D66" s="694"/>
      <c r="E66" s="370">
        <v>3</v>
      </c>
      <c r="F66" s="323"/>
      <c r="G66" s="435" t="str">
        <f>IF(ISBLANK(F66),"-",(F66/$D$50*$D$47*$B$68)*($B$57/$D$64))</f>
        <v>-</v>
      </c>
      <c r="H66" s="453" t="str">
        <f t="shared" si="0"/>
        <v>-</v>
      </c>
    </row>
    <row r="67" spans="1:8" ht="27" customHeight="1" x14ac:dyDescent="0.4">
      <c r="A67" s="310" t="s">
        <v>102</v>
      </c>
      <c r="B67" s="311">
        <v>1</v>
      </c>
      <c r="C67" s="700"/>
      <c r="D67" s="695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2500</v>
      </c>
      <c r="C68" s="690" t="s">
        <v>104</v>
      </c>
      <c r="D68" s="693">
        <v>1925.68</v>
      </c>
      <c r="E68" s="368">
        <v>1</v>
      </c>
      <c r="F68" s="369">
        <v>2644852</v>
      </c>
      <c r="G68" s="434">
        <f>IF(ISBLANK(F68),"-",(F68/$D$50*$D$47*$B$68)*($B$57/$D$68))</f>
        <v>280.48714948857679</v>
      </c>
      <c r="H68" s="453">
        <f t="shared" si="0"/>
        <v>93.495716496192259</v>
      </c>
    </row>
    <row r="69" spans="1:8" ht="27" customHeight="1" x14ac:dyDescent="0.4">
      <c r="A69" s="358" t="s">
        <v>105</v>
      </c>
      <c r="B69" s="375">
        <f>(D47*B68)/B56*B57</f>
        <v>1918.1365000000001</v>
      </c>
      <c r="C69" s="691"/>
      <c r="D69" s="694"/>
      <c r="E69" s="370">
        <v>2</v>
      </c>
      <c r="F69" s="323">
        <v>2650434</v>
      </c>
      <c r="G69" s="435">
        <f>IF(ISBLANK(F69),"-",(F69/$D$50*$D$47*$B$68)*($B$57/$D$68))</f>
        <v>281.07912184409804</v>
      </c>
      <c r="H69" s="453">
        <f t="shared" si="0"/>
        <v>93.693040614699356</v>
      </c>
    </row>
    <row r="70" spans="1:8" ht="26.25" customHeight="1" x14ac:dyDescent="0.4">
      <c r="A70" s="696" t="s">
        <v>78</v>
      </c>
      <c r="B70" s="697"/>
      <c r="C70" s="691"/>
      <c r="D70" s="694"/>
      <c r="E70" s="370">
        <v>3</v>
      </c>
      <c r="F70" s="323">
        <v>2643529</v>
      </c>
      <c r="G70" s="435">
        <f>IF(ISBLANK(F70),"-",(F70/$D$50*$D$47*$B$68)*($B$57/$D$68))</f>
        <v>280.34684504100341</v>
      </c>
      <c r="H70" s="453">
        <f t="shared" si="0"/>
        <v>93.448948347001135</v>
      </c>
    </row>
    <row r="71" spans="1:8" ht="27" customHeight="1" x14ac:dyDescent="0.4">
      <c r="A71" s="698"/>
      <c r="B71" s="699"/>
      <c r="C71" s="692"/>
      <c r="D71" s="695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278.41072092076257</v>
      </c>
      <c r="H72" s="455">
        <f>AVERAGE(H60:H71)</f>
        <v>92.803573640254214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9.2537815331147789E-3</v>
      </c>
      <c r="H73" s="439">
        <f>STDEV(H60:H71)/H72</f>
        <v>9.2537815331147667E-3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6</v>
      </c>
      <c r="H74" s="382">
        <f>COUNT(H60:H71)</f>
        <v>6</v>
      </c>
    </row>
    <row r="76" spans="1:8" ht="26.25" customHeight="1" x14ac:dyDescent="0.4">
      <c r="A76" s="294" t="s">
        <v>106</v>
      </c>
      <c r="B76" s="383" t="s">
        <v>107</v>
      </c>
      <c r="C76" s="677" t="str">
        <f>B26</f>
        <v xml:space="preserve"> Lamivudine</v>
      </c>
      <c r="D76" s="677"/>
      <c r="E76" s="384" t="s">
        <v>108</v>
      </c>
      <c r="F76" s="384"/>
      <c r="G76" s="471">
        <f>H72</f>
        <v>92.803573640254214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711" t="str">
        <f>B26</f>
        <v xml:space="preserve"> Lamivudine</v>
      </c>
      <c r="C79" s="711"/>
    </row>
    <row r="80" spans="1:8" ht="26.25" customHeight="1" x14ac:dyDescent="0.4">
      <c r="A80" s="295" t="s">
        <v>48</v>
      </c>
      <c r="B80" s="711" t="str">
        <f>B27</f>
        <v>L3-12</v>
      </c>
      <c r="C80" s="711"/>
    </row>
    <row r="81" spans="1:12" ht="27" customHeight="1" x14ac:dyDescent="0.4">
      <c r="A81" s="295" t="s">
        <v>6</v>
      </c>
      <c r="B81" s="387">
        <f>B28</f>
        <v>98.9</v>
      </c>
    </row>
    <row r="82" spans="1:12" s="14" customFormat="1" ht="27" customHeight="1" x14ac:dyDescent="0.4">
      <c r="A82" s="295" t="s">
        <v>49</v>
      </c>
      <c r="B82" s="297">
        <v>0</v>
      </c>
      <c r="C82" s="679" t="s">
        <v>50</v>
      </c>
      <c r="D82" s="680"/>
      <c r="E82" s="680"/>
      <c r="F82" s="680"/>
      <c r="G82" s="681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98.9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682" t="s">
        <v>111</v>
      </c>
      <c r="D84" s="683"/>
      <c r="E84" s="683"/>
      <c r="F84" s="683"/>
      <c r="G84" s="683"/>
      <c r="H84" s="684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682" t="s">
        <v>112</v>
      </c>
      <c r="D85" s="683"/>
      <c r="E85" s="683"/>
      <c r="F85" s="683"/>
      <c r="G85" s="683"/>
      <c r="H85" s="684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50</v>
      </c>
      <c r="D89" s="388" t="s">
        <v>59</v>
      </c>
      <c r="E89" s="389"/>
      <c r="F89" s="685" t="s">
        <v>60</v>
      </c>
      <c r="G89" s="686"/>
    </row>
    <row r="90" spans="1:12" ht="27" customHeight="1" x14ac:dyDescent="0.4">
      <c r="A90" s="310" t="s">
        <v>61</v>
      </c>
      <c r="B90" s="311">
        <v>1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</v>
      </c>
      <c r="C91" s="392">
        <v>1</v>
      </c>
      <c r="D91" s="506">
        <v>4004195</v>
      </c>
      <c r="E91" s="319">
        <f>IF(ISBLANK(D91),"-",$D$101/$D$98*D91)</f>
        <v>4122944.0340692629</v>
      </c>
      <c r="F91" s="506">
        <v>4173064</v>
      </c>
      <c r="G91" s="320">
        <f>IF(ISBLANK(F91),"-",$D$101/$F$98*F91)</f>
        <v>4172193.402310051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511">
        <v>4012672</v>
      </c>
      <c r="E92" s="324">
        <f>IF(ISBLANK(D92),"-",$D$101/$D$98*D92)</f>
        <v>4131672.4293089565</v>
      </c>
      <c r="F92" s="511">
        <v>4186697</v>
      </c>
      <c r="G92" s="325">
        <f>IF(ISBLANK(F92),"-",$D$101/$F$98*F92)</f>
        <v>4185823.5581508656</v>
      </c>
      <c r="I92" s="687">
        <f>ABS((F96/D96*D95)-F95)/D95</f>
        <v>1.1886971361918122E-2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511">
        <v>4014126</v>
      </c>
      <c r="E93" s="324">
        <f>IF(ISBLANK(D93),"-",$D$101/$D$98*D93)</f>
        <v>4133169.5493606864</v>
      </c>
      <c r="F93" s="511">
        <v>4173622</v>
      </c>
      <c r="G93" s="325">
        <f>IF(ISBLANK(F93),"-",$D$101/$F$98*F93)</f>
        <v>4172751.2858983423</v>
      </c>
      <c r="I93" s="687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4010331</v>
      </c>
      <c r="E95" s="334">
        <f>AVERAGE(E91:E94)</f>
        <v>4129262.0042463019</v>
      </c>
      <c r="F95" s="397">
        <f>AVERAGE(F91:F94)</f>
        <v>4177794.3333333335</v>
      </c>
      <c r="G95" s="398">
        <f>AVERAGE(G91:G94)</f>
        <v>4176922.7487864196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14.73</v>
      </c>
      <c r="E96" s="326"/>
      <c r="F96" s="338">
        <v>15.17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14.73</v>
      </c>
      <c r="E97" s="341"/>
      <c r="F97" s="340">
        <f>F96*$B$87</f>
        <v>15.17</v>
      </c>
    </row>
    <row r="98" spans="1:10" ht="19.5" customHeight="1" x14ac:dyDescent="0.3">
      <c r="A98" s="310" t="s">
        <v>76</v>
      </c>
      <c r="B98" s="403">
        <f>(B97/B96)*(B95/B94)*(B93/B92)*(B91/B90)*B89</f>
        <v>50</v>
      </c>
      <c r="C98" s="401" t="s">
        <v>115</v>
      </c>
      <c r="D98" s="404">
        <f>D97*$B$83/100</f>
        <v>14.567970000000001</v>
      </c>
      <c r="E98" s="344"/>
      <c r="F98" s="343">
        <f>F97*$B$83/100</f>
        <v>15.003130000000001</v>
      </c>
    </row>
    <row r="99" spans="1:10" ht="19.5" customHeight="1" x14ac:dyDescent="0.3">
      <c r="A99" s="673" t="s">
        <v>78</v>
      </c>
      <c r="B99" s="688"/>
      <c r="C99" s="401" t="s">
        <v>116</v>
      </c>
      <c r="D99" s="405">
        <f>D98/$B$98</f>
        <v>0.29135939999999999</v>
      </c>
      <c r="E99" s="344"/>
      <c r="F99" s="347">
        <f>F98/$B$98</f>
        <v>0.30006260000000001</v>
      </c>
      <c r="G99" s="406"/>
      <c r="H99" s="336"/>
    </row>
    <row r="100" spans="1:10" ht="19.5" customHeight="1" x14ac:dyDescent="0.3">
      <c r="A100" s="675"/>
      <c r="B100" s="689"/>
      <c r="C100" s="401" t="s">
        <v>80</v>
      </c>
      <c r="D100" s="407">
        <f>$B$56/$B$116</f>
        <v>0.3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15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15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4153092.3765163608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6.449525035653718E-3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1000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</v>
      </c>
      <c r="C108" s="461">
        <v>1</v>
      </c>
      <c r="D108" s="462">
        <v>4215891</v>
      </c>
      <c r="E108" s="436">
        <f t="shared" ref="E108:E113" si="1">IF(ISBLANK(D108),"-",D108/$D$103*$D$100*$B$116)</f>
        <v>304.53627931601523</v>
      </c>
      <c r="F108" s="463">
        <f t="shared" ref="F108:F113" si="2">IF(ISBLANK(D108), "-", (E108/$B$56)*100)</f>
        <v>101.51209310533842</v>
      </c>
    </row>
    <row r="109" spans="1:10" ht="26.25" customHeight="1" x14ac:dyDescent="0.4">
      <c r="A109" s="310" t="s">
        <v>95</v>
      </c>
      <c r="B109" s="311">
        <v>1</v>
      </c>
      <c r="C109" s="457">
        <v>2</v>
      </c>
      <c r="D109" s="459">
        <v>4135993</v>
      </c>
      <c r="E109" s="437">
        <f t="shared" si="1"/>
        <v>298.7648208877041</v>
      </c>
      <c r="F109" s="464">
        <f t="shared" si="2"/>
        <v>99.588273629234706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4213663</v>
      </c>
      <c r="E110" s="437">
        <f t="shared" si="1"/>
        <v>304.37533899988375</v>
      </c>
      <c r="F110" s="464">
        <f t="shared" si="2"/>
        <v>101.45844633329459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4139214</v>
      </c>
      <c r="E111" s="437">
        <f t="shared" si="1"/>
        <v>298.997490886923</v>
      </c>
      <c r="F111" s="464">
        <f t="shared" si="2"/>
        <v>99.665830295641001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4117781</v>
      </c>
      <c r="E112" s="437">
        <f t="shared" si="1"/>
        <v>297.44927105045662</v>
      </c>
      <c r="F112" s="464">
        <f t="shared" si="2"/>
        <v>99.149757016818867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4264587</v>
      </c>
      <c r="E113" s="438">
        <f t="shared" si="1"/>
        <v>308.05385096518091</v>
      </c>
      <c r="F113" s="465">
        <f t="shared" si="2"/>
        <v>102.68461698839364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302.02950868436056</v>
      </c>
      <c r="F115" s="467">
        <f>AVERAGE(F108:F113)</f>
        <v>100.67650289478688</v>
      </c>
    </row>
    <row r="116" spans="1:10" ht="27" customHeight="1" x14ac:dyDescent="0.4">
      <c r="A116" s="310" t="s">
        <v>103</v>
      </c>
      <c r="B116" s="342">
        <f>(B115/B114)*(B113/B112)*(B111/B110)*(B109/B108)*B107</f>
        <v>1000</v>
      </c>
      <c r="C116" s="420"/>
      <c r="D116" s="444" t="s">
        <v>84</v>
      </c>
      <c r="E116" s="442">
        <f>STDEV(E108:E113)/E115</f>
        <v>1.3961738365429657E-2</v>
      </c>
      <c r="F116" s="421">
        <f>STDEV(F108:F113)/F115</f>
        <v>1.3961738365429691E-2</v>
      </c>
      <c r="I116" s="284"/>
    </row>
    <row r="117" spans="1:10" ht="27" customHeight="1" x14ac:dyDescent="0.4">
      <c r="A117" s="673" t="s">
        <v>78</v>
      </c>
      <c r="B117" s="674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675"/>
      <c r="B118" s="676"/>
      <c r="C118" s="284"/>
      <c r="D118" s="446"/>
      <c r="E118" s="701" t="s">
        <v>123</v>
      </c>
      <c r="F118" s="702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297.44927105045662</v>
      </c>
      <c r="F119" s="468">
        <f>MIN(F108:F113)</f>
        <v>99.149757016818867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308.05385096518091</v>
      </c>
      <c r="F120" s="469">
        <f>MAX(F108:F113)</f>
        <v>102.68461698839364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677" t="str">
        <f>B26</f>
        <v xml:space="preserve"> Lamivudine</v>
      </c>
      <c r="D124" s="677"/>
      <c r="E124" s="384" t="s">
        <v>127</v>
      </c>
      <c r="F124" s="384"/>
      <c r="G124" s="470">
        <f>F115</f>
        <v>100.67650289478688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99.149757016818867</v>
      </c>
      <c r="E125" s="395" t="s">
        <v>130</v>
      </c>
      <c r="F125" s="470">
        <f>MAX(F108:F113)</f>
        <v>102.68461698839364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678" t="s">
        <v>26</v>
      </c>
      <c r="C127" s="678"/>
      <c r="E127" s="390" t="s">
        <v>27</v>
      </c>
      <c r="F127" s="425"/>
      <c r="G127" s="678" t="s">
        <v>28</v>
      </c>
      <c r="H127" s="678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1" t="s">
        <v>45</v>
      </c>
      <c r="B1" s="671"/>
      <c r="C1" s="671"/>
      <c r="D1" s="671"/>
      <c r="E1" s="671"/>
      <c r="F1" s="671"/>
      <c r="G1" s="671"/>
      <c r="H1" s="671"/>
      <c r="I1" s="671"/>
    </row>
    <row r="2" spans="1:9" ht="18.7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</row>
    <row r="3" spans="1:9" ht="18.7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</row>
    <row r="4" spans="1:9" ht="18.75" customHeight="1" x14ac:dyDescent="0.25">
      <c r="A4" s="671"/>
      <c r="B4" s="671"/>
      <c r="C4" s="671"/>
      <c r="D4" s="671"/>
      <c r="E4" s="671"/>
      <c r="F4" s="671"/>
      <c r="G4" s="671"/>
      <c r="H4" s="671"/>
      <c r="I4" s="671"/>
    </row>
    <row r="5" spans="1:9" ht="18.75" customHeight="1" x14ac:dyDescent="0.25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8.75" customHeight="1" x14ac:dyDescent="0.25">
      <c r="A6" s="671"/>
      <c r="B6" s="671"/>
      <c r="C6" s="671"/>
      <c r="D6" s="671"/>
      <c r="E6" s="671"/>
      <c r="F6" s="671"/>
      <c r="G6" s="671"/>
      <c r="H6" s="671"/>
      <c r="I6" s="671"/>
    </row>
    <row r="7" spans="1:9" ht="18.75" customHeight="1" x14ac:dyDescent="0.25">
      <c r="A7" s="671"/>
      <c r="B7" s="671"/>
      <c r="C7" s="671"/>
      <c r="D7" s="671"/>
      <c r="E7" s="671"/>
      <c r="F7" s="671"/>
      <c r="G7" s="671"/>
      <c r="H7" s="671"/>
      <c r="I7" s="671"/>
    </row>
    <row r="8" spans="1:9" x14ac:dyDescent="0.25">
      <c r="A8" s="672" t="s">
        <v>46</v>
      </c>
      <c r="B8" s="672"/>
      <c r="C8" s="672"/>
      <c r="D8" s="672"/>
      <c r="E8" s="672"/>
      <c r="F8" s="672"/>
      <c r="G8" s="672"/>
      <c r="H8" s="672"/>
      <c r="I8" s="672"/>
    </row>
    <row r="9" spans="1:9" x14ac:dyDescent="0.25">
      <c r="A9" s="672"/>
      <c r="B9" s="672"/>
      <c r="C9" s="672"/>
      <c r="D9" s="672"/>
      <c r="E9" s="672"/>
      <c r="F9" s="672"/>
      <c r="G9" s="672"/>
      <c r="H9" s="672"/>
      <c r="I9" s="672"/>
    </row>
    <row r="10" spans="1:9" x14ac:dyDescent="0.25">
      <c r="A10" s="672"/>
      <c r="B10" s="672"/>
      <c r="C10" s="672"/>
      <c r="D10" s="672"/>
      <c r="E10" s="672"/>
      <c r="F10" s="672"/>
      <c r="G10" s="672"/>
      <c r="H10" s="672"/>
      <c r="I10" s="672"/>
    </row>
    <row r="11" spans="1:9" x14ac:dyDescent="0.2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x14ac:dyDescent="0.25">
      <c r="A12" s="672"/>
      <c r="B12" s="672"/>
      <c r="C12" s="672"/>
      <c r="D12" s="672"/>
      <c r="E12" s="672"/>
      <c r="F12" s="672"/>
      <c r="G12" s="672"/>
      <c r="H12" s="672"/>
      <c r="I12" s="672"/>
    </row>
    <row r="13" spans="1:9" x14ac:dyDescent="0.25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x14ac:dyDescent="0.25">
      <c r="A14" s="672"/>
      <c r="B14" s="672"/>
      <c r="C14" s="672"/>
      <c r="D14" s="672"/>
      <c r="E14" s="672"/>
      <c r="F14" s="672"/>
      <c r="G14" s="672"/>
      <c r="H14" s="672"/>
      <c r="I14" s="672"/>
    </row>
    <row r="15" spans="1:9" ht="19.5" customHeight="1" x14ac:dyDescent="0.3">
      <c r="A15" s="472"/>
    </row>
    <row r="16" spans="1:9" ht="19.5" customHeight="1" x14ac:dyDescent="0.3">
      <c r="A16" s="704" t="s">
        <v>31</v>
      </c>
      <c r="B16" s="705"/>
      <c r="C16" s="705"/>
      <c r="D16" s="705"/>
      <c r="E16" s="705"/>
      <c r="F16" s="705"/>
      <c r="G16" s="705"/>
      <c r="H16" s="706"/>
    </row>
    <row r="17" spans="1:14" ht="20.25" customHeight="1" x14ac:dyDescent="0.25">
      <c r="A17" s="707" t="s">
        <v>47</v>
      </c>
      <c r="B17" s="707"/>
      <c r="C17" s="707"/>
      <c r="D17" s="707"/>
      <c r="E17" s="707"/>
      <c r="F17" s="707"/>
      <c r="G17" s="707"/>
      <c r="H17" s="707"/>
    </row>
    <row r="18" spans="1:14" ht="26.25" customHeight="1" x14ac:dyDescent="0.4">
      <c r="A18" s="474" t="s">
        <v>33</v>
      </c>
      <c r="B18" s="708" t="s">
        <v>5</v>
      </c>
      <c r="C18" s="708"/>
      <c r="D18" s="620"/>
      <c r="E18" s="475"/>
      <c r="F18" s="476"/>
      <c r="G18" s="476"/>
      <c r="H18" s="476"/>
    </row>
    <row r="19" spans="1:14" ht="26.25" customHeight="1" x14ac:dyDescent="0.4">
      <c r="A19" s="474" t="s">
        <v>34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35</v>
      </c>
      <c r="B20" s="703" t="s">
        <v>131</v>
      </c>
      <c r="C20" s="703"/>
      <c r="D20" s="476"/>
      <c r="E20" s="476"/>
      <c r="F20" s="476"/>
      <c r="G20" s="476"/>
      <c r="H20" s="476"/>
    </row>
    <row r="21" spans="1:14" ht="26.25" customHeight="1" x14ac:dyDescent="0.4">
      <c r="A21" s="474" t="s">
        <v>36</v>
      </c>
      <c r="B21" s="703" t="s">
        <v>11</v>
      </c>
      <c r="C21" s="703"/>
      <c r="D21" s="703"/>
      <c r="E21" s="703"/>
      <c r="F21" s="703"/>
      <c r="G21" s="703"/>
      <c r="H21" s="703"/>
      <c r="I21" s="478"/>
    </row>
    <row r="22" spans="1:14" ht="26.25" customHeight="1" x14ac:dyDescent="0.4">
      <c r="A22" s="474" t="s">
        <v>37</v>
      </c>
      <c r="B22" s="479">
        <v>43291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38</v>
      </c>
      <c r="B23" s="479">
        <v>43306</v>
      </c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703" t="s">
        <v>131</v>
      </c>
      <c r="C26" s="703"/>
    </row>
    <row r="27" spans="1:14" ht="26.25" customHeight="1" x14ac:dyDescent="0.4">
      <c r="A27" s="483" t="s">
        <v>48</v>
      </c>
      <c r="B27" s="709" t="s">
        <v>132</v>
      </c>
      <c r="C27" s="709"/>
    </row>
    <row r="28" spans="1:14" ht="27" customHeight="1" x14ac:dyDescent="0.4">
      <c r="A28" s="483" t="s">
        <v>6</v>
      </c>
      <c r="B28" s="484">
        <v>97.21</v>
      </c>
    </row>
    <row r="29" spans="1:14" s="14" customFormat="1" ht="27" customHeight="1" x14ac:dyDescent="0.4">
      <c r="A29" s="483" t="s">
        <v>49</v>
      </c>
      <c r="B29" s="485">
        <v>0</v>
      </c>
      <c r="C29" s="679" t="s">
        <v>50</v>
      </c>
      <c r="D29" s="680"/>
      <c r="E29" s="680"/>
      <c r="F29" s="680"/>
      <c r="G29" s="681"/>
      <c r="I29" s="486"/>
      <c r="J29" s="486"/>
      <c r="K29" s="486"/>
      <c r="L29" s="486"/>
    </row>
    <row r="30" spans="1:14" s="14" customFormat="1" ht="19.5" customHeight="1" x14ac:dyDescent="0.3">
      <c r="A30" s="483" t="s">
        <v>51</v>
      </c>
      <c r="B30" s="487">
        <f>B28-B29</f>
        <v>97.21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52</v>
      </c>
      <c r="B31" s="490">
        <v>1</v>
      </c>
      <c r="C31" s="682" t="s">
        <v>53</v>
      </c>
      <c r="D31" s="683"/>
      <c r="E31" s="683"/>
      <c r="F31" s="683"/>
      <c r="G31" s="683"/>
      <c r="H31" s="684"/>
      <c r="I31" s="486"/>
      <c r="J31" s="486"/>
      <c r="K31" s="486"/>
      <c r="L31" s="486"/>
    </row>
    <row r="32" spans="1:14" s="14" customFormat="1" ht="27" customHeight="1" x14ac:dyDescent="0.4">
      <c r="A32" s="483" t="s">
        <v>54</v>
      </c>
      <c r="B32" s="490">
        <v>1</v>
      </c>
      <c r="C32" s="682" t="s">
        <v>55</v>
      </c>
      <c r="D32" s="683"/>
      <c r="E32" s="683"/>
      <c r="F32" s="683"/>
      <c r="G32" s="683"/>
      <c r="H32" s="684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56</v>
      </c>
      <c r="B34" s="495">
        <f>B31/B32</f>
        <v>1</v>
      </c>
      <c r="C34" s="473" t="s">
        <v>57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58</v>
      </c>
      <c r="B36" s="497">
        <v>50</v>
      </c>
      <c r="C36" s="473"/>
      <c r="D36" s="685" t="s">
        <v>59</v>
      </c>
      <c r="E36" s="710"/>
      <c r="F36" s="685" t="s">
        <v>60</v>
      </c>
      <c r="G36" s="686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61</v>
      </c>
      <c r="B37" s="499">
        <v>10</v>
      </c>
      <c r="C37" s="500" t="s">
        <v>62</v>
      </c>
      <c r="D37" s="501" t="s">
        <v>63</v>
      </c>
      <c r="E37" s="502" t="s">
        <v>64</v>
      </c>
      <c r="F37" s="501" t="s">
        <v>63</v>
      </c>
      <c r="G37" s="503" t="s">
        <v>64</v>
      </c>
      <c r="I37" s="504" t="s">
        <v>65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66</v>
      </c>
      <c r="B38" s="499">
        <v>25</v>
      </c>
      <c r="C38" s="505">
        <v>1</v>
      </c>
      <c r="D38" s="506">
        <v>714970</v>
      </c>
      <c r="E38" s="507">
        <f>IF(ISBLANK(D38),"-",$D$48/$D$45*D38)</f>
        <v>725573.99793603609</v>
      </c>
      <c r="F38" s="506">
        <v>700393</v>
      </c>
      <c r="G38" s="508">
        <f>IF(ISBLANK(F38),"-",$D$48/$F$45*F38)</f>
        <v>743800.55580991844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67</v>
      </c>
      <c r="B39" s="499">
        <v>1</v>
      </c>
      <c r="C39" s="510">
        <v>2</v>
      </c>
      <c r="D39" s="511">
        <v>719555</v>
      </c>
      <c r="E39" s="512">
        <f>IF(ISBLANK(D39),"-",$D$48/$D$45*D39)</f>
        <v>730226.99985295103</v>
      </c>
      <c r="F39" s="511">
        <v>679922</v>
      </c>
      <c r="G39" s="513">
        <f>IF(ISBLANK(F39),"-",$D$48/$F$45*F39)</f>
        <v>722060.84513607563</v>
      </c>
      <c r="I39" s="687">
        <f>ABS((F43/D43*D42)-F42)/D42</f>
        <v>8.6234851129007219E-3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68</v>
      </c>
      <c r="B40" s="499">
        <v>1</v>
      </c>
      <c r="C40" s="510">
        <v>3</v>
      </c>
      <c r="D40" s="511">
        <v>721679</v>
      </c>
      <c r="E40" s="512">
        <f>IF(ISBLANK(D40),"-",$D$48/$D$45*D40)</f>
        <v>732382.50172242266</v>
      </c>
      <c r="F40" s="511">
        <v>698762</v>
      </c>
      <c r="G40" s="513">
        <f>IF(ISBLANK(F40),"-",$D$48/$F$45*F40)</f>
        <v>742068.47295568383</v>
      </c>
      <c r="I40" s="687"/>
      <c r="L40" s="491"/>
      <c r="M40" s="491"/>
      <c r="N40" s="514"/>
    </row>
    <row r="41" spans="1:14" ht="27" customHeight="1" x14ac:dyDescent="0.4">
      <c r="A41" s="498" t="s">
        <v>69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70</v>
      </c>
      <c r="B42" s="499">
        <v>1</v>
      </c>
      <c r="C42" s="520" t="s">
        <v>71</v>
      </c>
      <c r="D42" s="521">
        <f>AVERAGE(D38:D41)</f>
        <v>718734.66666666663</v>
      </c>
      <c r="E42" s="522">
        <f>AVERAGE(E38:E41)</f>
        <v>729394.49983713648</v>
      </c>
      <c r="F42" s="521">
        <f>AVERAGE(F38:F41)</f>
        <v>693025.66666666663</v>
      </c>
      <c r="G42" s="523">
        <f>AVERAGE(G38:G41)</f>
        <v>735976.62463389256</v>
      </c>
      <c r="H42" s="524"/>
    </row>
    <row r="43" spans="1:14" ht="26.25" customHeight="1" x14ac:dyDescent="0.4">
      <c r="A43" s="498" t="s">
        <v>72</v>
      </c>
      <c r="B43" s="499">
        <v>1</v>
      </c>
      <c r="C43" s="525" t="s">
        <v>73</v>
      </c>
      <c r="D43" s="526">
        <v>30.41</v>
      </c>
      <c r="E43" s="514"/>
      <c r="F43" s="526">
        <v>29.06</v>
      </c>
      <c r="H43" s="524"/>
    </row>
    <row r="44" spans="1:14" ht="26.25" customHeight="1" x14ac:dyDescent="0.4">
      <c r="A44" s="498" t="s">
        <v>74</v>
      </c>
      <c r="B44" s="499">
        <v>1</v>
      </c>
      <c r="C44" s="527" t="s">
        <v>75</v>
      </c>
      <c r="D44" s="528">
        <f>D43*$B$34</f>
        <v>30.41</v>
      </c>
      <c r="E44" s="529"/>
      <c r="F44" s="528">
        <f>F43*$B$34</f>
        <v>29.06</v>
      </c>
      <c r="H44" s="524"/>
    </row>
    <row r="45" spans="1:14" ht="19.5" customHeight="1" x14ac:dyDescent="0.3">
      <c r="A45" s="498" t="s">
        <v>76</v>
      </c>
      <c r="B45" s="530">
        <f>(B44/B43)*(B42/B41)*(B40/B39)*(B38/B37)*B36</f>
        <v>125</v>
      </c>
      <c r="C45" s="527" t="s">
        <v>77</v>
      </c>
      <c r="D45" s="531">
        <f>D44*$B$30/100</f>
        <v>29.561560999999998</v>
      </c>
      <c r="E45" s="532"/>
      <c r="F45" s="531">
        <f>F44*$B$30/100</f>
        <v>28.249226</v>
      </c>
      <c r="H45" s="524"/>
    </row>
    <row r="46" spans="1:14" ht="19.5" customHeight="1" x14ac:dyDescent="0.3">
      <c r="A46" s="673" t="s">
        <v>78</v>
      </c>
      <c r="B46" s="674"/>
      <c r="C46" s="527" t="s">
        <v>79</v>
      </c>
      <c r="D46" s="533">
        <f>D45/$B$45</f>
        <v>0.23649248799999997</v>
      </c>
      <c r="E46" s="534"/>
      <c r="F46" s="535">
        <f>F45/$B$45</f>
        <v>0.22599380799999999</v>
      </c>
      <c r="H46" s="524"/>
    </row>
    <row r="47" spans="1:14" ht="27" customHeight="1" x14ac:dyDescent="0.4">
      <c r="A47" s="675"/>
      <c r="B47" s="676"/>
      <c r="C47" s="536" t="s">
        <v>80</v>
      </c>
      <c r="D47" s="537">
        <v>0.24</v>
      </c>
      <c r="E47" s="538"/>
      <c r="F47" s="534"/>
      <c r="H47" s="524"/>
    </row>
    <row r="48" spans="1:14" ht="18.75" x14ac:dyDescent="0.3">
      <c r="C48" s="539" t="s">
        <v>81</v>
      </c>
      <c r="D48" s="531">
        <f>D47*$B$45</f>
        <v>30</v>
      </c>
      <c r="F48" s="540"/>
      <c r="H48" s="524"/>
    </row>
    <row r="49" spans="1:12" ht="19.5" customHeight="1" x14ac:dyDescent="0.3">
      <c r="C49" s="541" t="s">
        <v>82</v>
      </c>
      <c r="D49" s="542">
        <f>D48/B34</f>
        <v>30</v>
      </c>
      <c r="F49" s="540"/>
      <c r="H49" s="524"/>
    </row>
    <row r="50" spans="1:12" ht="18.75" x14ac:dyDescent="0.3">
      <c r="C50" s="496" t="s">
        <v>83</v>
      </c>
      <c r="D50" s="543">
        <f>AVERAGE(E38:E41,G38:G41)</f>
        <v>732685.56223551463</v>
      </c>
      <c r="F50" s="544"/>
      <c r="H50" s="524"/>
    </row>
    <row r="51" spans="1:12" ht="18.75" x14ac:dyDescent="0.3">
      <c r="C51" s="498" t="s">
        <v>84</v>
      </c>
      <c r="D51" s="545">
        <f>STDEV(E38:E41,G38:G41)/D50</f>
        <v>1.1916835743471074E-2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85</v>
      </c>
    </row>
    <row r="55" spans="1:12" ht="18.75" x14ac:dyDescent="0.3">
      <c r="A55" s="473" t="s">
        <v>86</v>
      </c>
      <c r="B55" s="550" t="str">
        <f>B21</f>
        <v>Each film coated tablet contains Tenofovir Disoproxil Fumarate 300 mg, Lamivudine USP 300 mg and Efavirenz USP 600 mg.</v>
      </c>
    </row>
    <row r="56" spans="1:12" ht="26.25" customHeight="1" x14ac:dyDescent="0.4">
      <c r="A56" s="551" t="s">
        <v>87</v>
      </c>
      <c r="B56" s="552">
        <v>600</v>
      </c>
      <c r="C56" s="473" t="str">
        <f>B20</f>
        <v>Efavirenz</v>
      </c>
      <c r="H56" s="553"/>
    </row>
    <row r="57" spans="1:12" ht="18.75" x14ac:dyDescent="0.3">
      <c r="A57" s="550" t="s">
        <v>88</v>
      </c>
      <c r="B57" s="621">
        <f>Uniformity!C46</f>
        <v>1918.1365000000001</v>
      </c>
      <c r="H57" s="553"/>
    </row>
    <row r="58" spans="1:12" ht="19.5" customHeight="1" x14ac:dyDescent="0.3">
      <c r="H58" s="553"/>
    </row>
    <row r="59" spans="1:12" s="14" customFormat="1" ht="27" customHeight="1" thickBot="1" x14ac:dyDescent="0.45">
      <c r="A59" s="496" t="s">
        <v>89</v>
      </c>
      <c r="B59" s="497">
        <v>200</v>
      </c>
      <c r="C59" s="473"/>
      <c r="D59" s="554" t="s">
        <v>90</v>
      </c>
      <c r="E59" s="555" t="s">
        <v>62</v>
      </c>
      <c r="F59" s="555" t="s">
        <v>63</v>
      </c>
      <c r="G59" s="555" t="s">
        <v>91</v>
      </c>
      <c r="H59" s="500" t="s">
        <v>92</v>
      </c>
      <c r="L59" s="486"/>
    </row>
    <row r="60" spans="1:12" s="14" customFormat="1" ht="26.25" customHeight="1" x14ac:dyDescent="0.4">
      <c r="A60" s="498" t="s">
        <v>93</v>
      </c>
      <c r="B60" s="499">
        <v>4</v>
      </c>
      <c r="C60" s="690" t="s">
        <v>94</v>
      </c>
      <c r="D60" s="693">
        <v>1903.73</v>
      </c>
      <c r="E60" s="556">
        <v>1</v>
      </c>
      <c r="F60" s="557">
        <v>701415</v>
      </c>
      <c r="G60" s="622">
        <f>IF(ISBLANK(F60),"-",(F60/$D$50*$D$47*$B$68)*($B$57/$D$60))</f>
        <v>578.73909600179138</v>
      </c>
      <c r="H60" s="640">
        <f t="shared" ref="H60:H71" si="0">IF(ISBLANK(F60),"-",(G60/$B$56)*100)</f>
        <v>96.456516000298564</v>
      </c>
      <c r="L60" s="486"/>
    </row>
    <row r="61" spans="1:12" s="14" customFormat="1" ht="26.25" customHeight="1" x14ac:dyDescent="0.4">
      <c r="A61" s="498" t="s">
        <v>95</v>
      </c>
      <c r="B61" s="499">
        <v>50</v>
      </c>
      <c r="C61" s="691"/>
      <c r="D61" s="694"/>
      <c r="E61" s="558">
        <v>2</v>
      </c>
      <c r="F61" s="511">
        <v>704440</v>
      </c>
      <c r="G61" s="623">
        <f>IF(ISBLANK(F61),"-",(F61/$D$50*$D$47*$B$68)*($B$57/$D$60))</f>
        <v>581.2350303137257</v>
      </c>
      <c r="H61" s="641">
        <f t="shared" si="0"/>
        <v>96.872505052287622</v>
      </c>
      <c r="L61" s="486"/>
    </row>
    <row r="62" spans="1:12" s="14" customFormat="1" ht="26.25" customHeight="1" x14ac:dyDescent="0.4">
      <c r="A62" s="498" t="s">
        <v>96</v>
      </c>
      <c r="B62" s="499">
        <v>1</v>
      </c>
      <c r="C62" s="691"/>
      <c r="D62" s="694"/>
      <c r="E62" s="558">
        <v>3</v>
      </c>
      <c r="F62" s="559">
        <v>703513</v>
      </c>
      <c r="G62" s="623">
        <f>IF(ISBLANK(F62),"-",(F62/$D$50*$D$47*$B$68)*($B$57/$D$60))</f>
        <v>580.47016052623371</v>
      </c>
      <c r="H62" s="641">
        <f t="shared" si="0"/>
        <v>96.74502675437229</v>
      </c>
      <c r="L62" s="486"/>
    </row>
    <row r="63" spans="1:12" ht="27" customHeight="1" thickBot="1" x14ac:dyDescent="0.45">
      <c r="A63" s="498" t="s">
        <v>97</v>
      </c>
      <c r="B63" s="499">
        <v>1</v>
      </c>
      <c r="C63" s="700"/>
      <c r="D63" s="695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98</v>
      </c>
      <c r="B64" s="499">
        <v>1</v>
      </c>
      <c r="C64" s="690" t="s">
        <v>99</v>
      </c>
      <c r="D64" s="693">
        <v>1919.43</v>
      </c>
      <c r="E64" s="556">
        <v>1</v>
      </c>
      <c r="F64" s="557">
        <v>690763</v>
      </c>
      <c r="G64" s="622">
        <f>IF(ISBLANK(F64),"-",(F64/$D$50*$D$47*$B$68)*($B$57/$D$64))</f>
        <v>565.28819328993063</v>
      </c>
      <c r="H64" s="640">
        <f t="shared" si="0"/>
        <v>94.214698881655096</v>
      </c>
    </row>
    <row r="65" spans="1:8" ht="26.25" customHeight="1" x14ac:dyDescent="0.4">
      <c r="A65" s="498" t="s">
        <v>100</v>
      </c>
      <c r="B65" s="499">
        <v>1</v>
      </c>
      <c r="C65" s="691"/>
      <c r="D65" s="694"/>
      <c r="E65" s="558">
        <v>2</v>
      </c>
      <c r="F65" s="511">
        <v>693160</v>
      </c>
      <c r="G65" s="623">
        <f>IF(ISBLANK(F65),"-",(F65/$D$50*$D$47*$B$68)*($B$57/$D$64))</f>
        <v>567.24978619417698</v>
      </c>
      <c r="H65" s="641">
        <f t="shared" si="0"/>
        <v>94.54163103236283</v>
      </c>
    </row>
    <row r="66" spans="1:8" ht="26.25" customHeight="1" x14ac:dyDescent="0.4">
      <c r="A66" s="498" t="s">
        <v>101</v>
      </c>
      <c r="B66" s="499">
        <v>1</v>
      </c>
      <c r="C66" s="691"/>
      <c r="D66" s="694"/>
      <c r="E66" s="558">
        <v>3</v>
      </c>
      <c r="F66" s="511">
        <v>693025</v>
      </c>
      <c r="G66" s="623">
        <f>IF(ISBLANK(F66),"-",(F66/$D$50*$D$47*$B$68)*($B$57/$D$64))</f>
        <v>567.13930849619055</v>
      </c>
      <c r="H66" s="641">
        <f t="shared" si="0"/>
        <v>94.523218082698421</v>
      </c>
    </row>
    <row r="67" spans="1:8" ht="27" customHeight="1" thickBot="1" x14ac:dyDescent="0.45">
      <c r="A67" s="498" t="s">
        <v>102</v>
      </c>
      <c r="B67" s="499">
        <v>1</v>
      </c>
      <c r="C67" s="700"/>
      <c r="D67" s="695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103</v>
      </c>
      <c r="B68" s="562">
        <f>(B67/B66)*(B65/B64)*(B63/B62)*(B61/B60)*B59</f>
        <v>2500</v>
      </c>
      <c r="C68" s="690" t="s">
        <v>104</v>
      </c>
      <c r="D68" s="693">
        <v>1925.68</v>
      </c>
      <c r="E68" s="556">
        <v>1</v>
      </c>
      <c r="F68" s="557">
        <v>708024</v>
      </c>
      <c r="G68" s="622">
        <f>IF(ISBLANK(F68),"-",(F68/$D$50*$D$47*$B$68)*($B$57/$D$68))</f>
        <v>577.53324061343562</v>
      </c>
      <c r="H68" s="641">
        <f t="shared" si="0"/>
        <v>96.255540102239266</v>
      </c>
    </row>
    <row r="69" spans="1:8" ht="27" customHeight="1" thickBot="1" x14ac:dyDescent="0.45">
      <c r="A69" s="546" t="s">
        <v>105</v>
      </c>
      <c r="B69" s="563">
        <f>(D47*B68)/B56*B57</f>
        <v>1918.1365000000001</v>
      </c>
      <c r="C69" s="691"/>
      <c r="D69" s="694"/>
      <c r="E69" s="558">
        <v>2</v>
      </c>
      <c r="F69" s="511">
        <v>710111</v>
      </c>
      <c r="G69" s="623">
        <f>IF(ISBLANK(F69),"-",(F69/$D$50*$D$47*$B$68)*($B$57/$D$68))</f>
        <v>579.2356008062543</v>
      </c>
      <c r="H69" s="641">
        <f t="shared" si="0"/>
        <v>96.539266801042373</v>
      </c>
    </row>
    <row r="70" spans="1:8" ht="26.25" customHeight="1" x14ac:dyDescent="0.4">
      <c r="A70" s="696" t="s">
        <v>78</v>
      </c>
      <c r="B70" s="697"/>
      <c r="C70" s="691"/>
      <c r="D70" s="694"/>
      <c r="E70" s="558">
        <v>3</v>
      </c>
      <c r="F70" s="511">
        <v>707471</v>
      </c>
      <c r="G70" s="623">
        <f>IF(ISBLANK(F70),"-",(F70/$D$50*$D$47*$B$68)*($B$57/$D$68))</f>
        <v>577.08216002568827</v>
      </c>
      <c r="H70" s="641">
        <f t="shared" si="0"/>
        <v>96.180360004281368</v>
      </c>
    </row>
    <row r="71" spans="1:8" ht="27" customHeight="1" thickBot="1" x14ac:dyDescent="0.45">
      <c r="A71" s="698"/>
      <c r="B71" s="699"/>
      <c r="C71" s="692"/>
      <c r="D71" s="695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71</v>
      </c>
      <c r="G72" s="628">
        <f>AVERAGE(G60:G71)</f>
        <v>574.88584180749194</v>
      </c>
      <c r="H72" s="643">
        <f>AVERAGE(H60:H71)</f>
        <v>95.814306967915329</v>
      </c>
    </row>
    <row r="73" spans="1:8" ht="26.25" customHeight="1" x14ac:dyDescent="0.4">
      <c r="C73" s="564"/>
      <c r="D73" s="564"/>
      <c r="E73" s="564"/>
      <c r="F73" s="567" t="s">
        <v>84</v>
      </c>
      <c r="G73" s="627">
        <f>STDEV(G60:G71)/G72</f>
        <v>1.1130101696917449E-2</v>
      </c>
      <c r="H73" s="627">
        <f>STDEV(H60:H71)/H72</f>
        <v>1.113010169691747E-2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9</v>
      </c>
      <c r="H74" s="570">
        <f>COUNT(H60:H71)</f>
        <v>9</v>
      </c>
    </row>
    <row r="76" spans="1:8" ht="26.25" customHeight="1" x14ac:dyDescent="0.4">
      <c r="A76" s="482" t="s">
        <v>106</v>
      </c>
      <c r="B76" s="571" t="s">
        <v>107</v>
      </c>
      <c r="C76" s="677" t="str">
        <f>B26</f>
        <v>Efavirenz</v>
      </c>
      <c r="D76" s="677"/>
      <c r="E76" s="572" t="s">
        <v>108</v>
      </c>
      <c r="F76" s="572"/>
      <c r="G76" s="659">
        <f>H72</f>
        <v>95.814306967915329</v>
      </c>
      <c r="H76" s="574"/>
    </row>
    <row r="77" spans="1:8" ht="18.75" x14ac:dyDescent="0.3">
      <c r="A77" s="481" t="s">
        <v>109</v>
      </c>
      <c r="B77" s="481" t="s">
        <v>110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711" t="str">
        <f>B26</f>
        <v>Efavirenz</v>
      </c>
      <c r="C79" s="711"/>
    </row>
    <row r="80" spans="1:8" ht="26.25" customHeight="1" x14ac:dyDescent="0.4">
      <c r="A80" s="483" t="s">
        <v>48</v>
      </c>
      <c r="B80" s="711" t="str">
        <f>B27</f>
        <v>E15-6</v>
      </c>
      <c r="C80" s="711"/>
    </row>
    <row r="81" spans="1:12" ht="27" customHeight="1" x14ac:dyDescent="0.4">
      <c r="A81" s="483" t="s">
        <v>6</v>
      </c>
      <c r="B81" s="575">
        <f>B28</f>
        <v>97.21</v>
      </c>
    </row>
    <row r="82" spans="1:12" s="14" customFormat="1" ht="27" customHeight="1" x14ac:dyDescent="0.4">
      <c r="A82" s="483" t="s">
        <v>49</v>
      </c>
      <c r="B82" s="485">
        <v>0</v>
      </c>
      <c r="C82" s="679" t="s">
        <v>50</v>
      </c>
      <c r="D82" s="680"/>
      <c r="E82" s="680"/>
      <c r="F82" s="680"/>
      <c r="G82" s="681"/>
      <c r="I82" s="486"/>
      <c r="J82" s="486"/>
      <c r="K82" s="486"/>
      <c r="L82" s="486"/>
    </row>
    <row r="83" spans="1:12" s="14" customFormat="1" ht="19.5" customHeight="1" x14ac:dyDescent="0.3">
      <c r="A83" s="483" t="s">
        <v>51</v>
      </c>
      <c r="B83" s="487">
        <f>B81-B82</f>
        <v>97.21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52</v>
      </c>
      <c r="B84" s="490">
        <v>1</v>
      </c>
      <c r="C84" s="682" t="s">
        <v>111</v>
      </c>
      <c r="D84" s="683"/>
      <c r="E84" s="683"/>
      <c r="F84" s="683"/>
      <c r="G84" s="683"/>
      <c r="H84" s="684"/>
      <c r="I84" s="486"/>
      <c r="J84" s="486"/>
      <c r="K84" s="486"/>
      <c r="L84" s="486"/>
    </row>
    <row r="85" spans="1:12" s="14" customFormat="1" ht="27" customHeight="1" x14ac:dyDescent="0.4">
      <c r="A85" s="483" t="s">
        <v>54</v>
      </c>
      <c r="B85" s="490">
        <v>1</v>
      </c>
      <c r="C85" s="682" t="s">
        <v>112</v>
      </c>
      <c r="D85" s="683"/>
      <c r="E85" s="683"/>
      <c r="F85" s="683"/>
      <c r="G85" s="683"/>
      <c r="H85" s="684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56</v>
      </c>
      <c r="B87" s="495">
        <f>B84/B85</f>
        <v>1</v>
      </c>
      <c r="C87" s="473" t="s">
        <v>57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58</v>
      </c>
      <c r="B89" s="497">
        <v>50</v>
      </c>
      <c r="D89" s="576" t="s">
        <v>59</v>
      </c>
      <c r="E89" s="577"/>
      <c r="F89" s="685" t="s">
        <v>60</v>
      </c>
      <c r="G89" s="686"/>
    </row>
    <row r="90" spans="1:12" ht="27" customHeight="1" x14ac:dyDescent="0.4">
      <c r="A90" s="498" t="s">
        <v>61</v>
      </c>
      <c r="B90" s="499">
        <v>1</v>
      </c>
      <c r="C90" s="578" t="s">
        <v>62</v>
      </c>
      <c r="D90" s="501" t="s">
        <v>63</v>
      </c>
      <c r="E90" s="502" t="s">
        <v>64</v>
      </c>
      <c r="F90" s="501" t="s">
        <v>63</v>
      </c>
      <c r="G90" s="579" t="s">
        <v>64</v>
      </c>
      <c r="I90" s="504" t="s">
        <v>65</v>
      </c>
    </row>
    <row r="91" spans="1:12" ht="26.25" customHeight="1" x14ac:dyDescent="0.4">
      <c r="A91" s="498" t="s">
        <v>66</v>
      </c>
      <c r="B91" s="499">
        <v>1</v>
      </c>
      <c r="C91" s="580">
        <v>1</v>
      </c>
      <c r="D91" s="506">
        <v>1940845</v>
      </c>
      <c r="E91" s="507">
        <f>IF(ISBLANK(D91),"-",$D$101/$D$98*D91)</f>
        <v>1980048.3064269992</v>
      </c>
      <c r="F91" s="506">
        <v>1886697</v>
      </c>
      <c r="G91" s="508">
        <f>IF(ISBLANK(F91),"-",$D$101/$F$98*F91)</f>
        <v>2009851.5230079736</v>
      </c>
      <c r="I91" s="509"/>
    </row>
    <row r="92" spans="1:12" ht="26.25" customHeight="1" x14ac:dyDescent="0.4">
      <c r="A92" s="498" t="s">
        <v>67</v>
      </c>
      <c r="B92" s="499">
        <v>1</v>
      </c>
      <c r="C92" s="565">
        <v>2</v>
      </c>
      <c r="D92" s="511">
        <v>1931004</v>
      </c>
      <c r="E92" s="512">
        <f>IF(ISBLANK(D92),"-",$D$101/$D$98*D92)</f>
        <v>1970008.527164076</v>
      </c>
      <c r="F92" s="511">
        <v>1846659</v>
      </c>
      <c r="G92" s="513">
        <f>IF(ISBLANK(F92),"-",$D$101/$F$98*F92)</f>
        <v>1967200.0345717312</v>
      </c>
      <c r="I92" s="687">
        <f>ABS((F96/D96*D95)-F95)/D95</f>
        <v>9.2748731896314454E-3</v>
      </c>
    </row>
    <row r="93" spans="1:12" ht="26.25" customHeight="1" x14ac:dyDescent="0.4">
      <c r="A93" s="498" t="s">
        <v>68</v>
      </c>
      <c r="B93" s="499">
        <v>1</v>
      </c>
      <c r="C93" s="565">
        <v>3</v>
      </c>
      <c r="D93" s="511">
        <v>1962225</v>
      </c>
      <c r="E93" s="512">
        <f>IF(ISBLANK(D93),"-",$D$101/$D$98*D93)</f>
        <v>2001860.1630108114</v>
      </c>
      <c r="F93" s="511">
        <v>1907965</v>
      </c>
      <c r="G93" s="513">
        <f>IF(ISBLANK(F93),"-",$D$101/$F$98*F93)</f>
        <v>2032507.7959502286</v>
      </c>
      <c r="I93" s="687"/>
    </row>
    <row r="94" spans="1:12" ht="27" customHeight="1" x14ac:dyDescent="0.4">
      <c r="A94" s="498" t="s">
        <v>69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70</v>
      </c>
      <c r="B95" s="499">
        <v>1</v>
      </c>
      <c r="C95" s="583" t="s">
        <v>71</v>
      </c>
      <c r="D95" s="584">
        <f>AVERAGE(D91:D94)</f>
        <v>1944691.3333333333</v>
      </c>
      <c r="E95" s="522">
        <f>AVERAGE(E91:E94)</f>
        <v>1983972.3322006289</v>
      </c>
      <c r="F95" s="585">
        <f>AVERAGE(F91:F94)</f>
        <v>1880440.3333333333</v>
      </c>
      <c r="G95" s="586">
        <f>AVERAGE(G91:G94)</f>
        <v>2003186.4511766443</v>
      </c>
    </row>
    <row r="96" spans="1:12" ht="26.25" customHeight="1" x14ac:dyDescent="0.4">
      <c r="A96" s="498" t="s">
        <v>72</v>
      </c>
      <c r="B96" s="484">
        <v>1</v>
      </c>
      <c r="C96" s="587" t="s">
        <v>113</v>
      </c>
      <c r="D96" s="588">
        <v>30.25</v>
      </c>
      <c r="E96" s="514"/>
      <c r="F96" s="526">
        <v>28.97</v>
      </c>
    </row>
    <row r="97" spans="1:10" ht="26.25" customHeight="1" x14ac:dyDescent="0.4">
      <c r="A97" s="498" t="s">
        <v>74</v>
      </c>
      <c r="B97" s="484">
        <v>1</v>
      </c>
      <c r="C97" s="589" t="s">
        <v>114</v>
      </c>
      <c r="D97" s="590">
        <f>D96*$B$87</f>
        <v>30.25</v>
      </c>
      <c r="E97" s="529"/>
      <c r="F97" s="528">
        <f>F96*$B$87</f>
        <v>28.97</v>
      </c>
    </row>
    <row r="98" spans="1:10" ht="19.5" customHeight="1" x14ac:dyDescent="0.3">
      <c r="A98" s="498" t="s">
        <v>76</v>
      </c>
      <c r="B98" s="591">
        <f>(B97/B96)*(B95/B94)*(B93/B92)*(B91/B90)*B89</f>
        <v>50</v>
      </c>
      <c r="C98" s="589" t="s">
        <v>115</v>
      </c>
      <c r="D98" s="592">
        <f>D97*$B$83/100</f>
        <v>29.406025</v>
      </c>
      <c r="E98" s="532"/>
      <c r="F98" s="531">
        <f>F97*$B$83/100</f>
        <v>28.161736999999999</v>
      </c>
    </row>
    <row r="99" spans="1:10" ht="19.5" customHeight="1" x14ac:dyDescent="0.3">
      <c r="A99" s="673" t="s">
        <v>78</v>
      </c>
      <c r="B99" s="688"/>
      <c r="C99" s="589" t="s">
        <v>116</v>
      </c>
      <c r="D99" s="593">
        <f>D98/$B$98</f>
        <v>0.58812050000000005</v>
      </c>
      <c r="E99" s="532"/>
      <c r="F99" s="535">
        <f>F98/$B$98</f>
        <v>0.56323473999999996</v>
      </c>
      <c r="G99" s="594"/>
      <c r="H99" s="524"/>
    </row>
    <row r="100" spans="1:10" ht="19.5" customHeight="1" x14ac:dyDescent="0.3">
      <c r="A100" s="675"/>
      <c r="B100" s="689"/>
      <c r="C100" s="589" t="s">
        <v>80</v>
      </c>
      <c r="D100" s="595">
        <f>$B$56/$B$116</f>
        <v>0.6</v>
      </c>
      <c r="F100" s="540"/>
      <c r="G100" s="596"/>
      <c r="H100" s="524"/>
    </row>
    <row r="101" spans="1:10" ht="18.75" x14ac:dyDescent="0.3">
      <c r="C101" s="589" t="s">
        <v>81</v>
      </c>
      <c r="D101" s="590">
        <f>D100*$B$98</f>
        <v>30</v>
      </c>
      <c r="F101" s="540"/>
      <c r="G101" s="594"/>
      <c r="H101" s="524"/>
    </row>
    <row r="102" spans="1:10" ht="19.5" customHeight="1" x14ac:dyDescent="0.3">
      <c r="C102" s="597" t="s">
        <v>82</v>
      </c>
      <c r="D102" s="598">
        <f>D101/B34</f>
        <v>30</v>
      </c>
      <c r="F102" s="544"/>
      <c r="G102" s="594"/>
      <c r="H102" s="524"/>
      <c r="J102" s="599"/>
    </row>
    <row r="103" spans="1:10" ht="18.75" x14ac:dyDescent="0.3">
      <c r="C103" s="600" t="s">
        <v>117</v>
      </c>
      <c r="D103" s="601">
        <f>AVERAGE(E91:E94,G91:G94)</f>
        <v>1993579.3916886367</v>
      </c>
      <c r="F103" s="544"/>
      <c r="G103" s="602"/>
      <c r="H103" s="524"/>
      <c r="J103" s="603"/>
    </row>
    <row r="104" spans="1:10" ht="18.75" x14ac:dyDescent="0.3">
      <c r="C104" s="567" t="s">
        <v>84</v>
      </c>
      <c r="D104" s="604">
        <f>STDEV(E91:E94,G91:G94)/D103</f>
        <v>1.2853994242574095E-2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118</v>
      </c>
      <c r="B107" s="497">
        <v>1000</v>
      </c>
      <c r="C107" s="644" t="s">
        <v>119</v>
      </c>
      <c r="D107" s="644" t="s">
        <v>63</v>
      </c>
      <c r="E107" s="644" t="s">
        <v>120</v>
      </c>
      <c r="F107" s="606" t="s">
        <v>121</v>
      </c>
    </row>
    <row r="108" spans="1:10" ht="26.25" customHeight="1" x14ac:dyDescent="0.4">
      <c r="A108" s="498" t="s">
        <v>122</v>
      </c>
      <c r="B108" s="499">
        <v>1</v>
      </c>
      <c r="C108" s="649">
        <v>1</v>
      </c>
      <c r="D108" s="650">
        <v>1868607</v>
      </c>
      <c r="E108" s="624">
        <f t="shared" ref="E108:E113" si="1">IF(ISBLANK(D108),"-",D108/$D$103*$D$100*$B$116)</f>
        <v>562.38753504084514</v>
      </c>
      <c r="F108" s="651">
        <f t="shared" ref="F108:F113" si="2">IF(ISBLANK(D108), "-", (E108/$B$56)*100)</f>
        <v>93.731255840140861</v>
      </c>
    </row>
    <row r="109" spans="1:10" ht="26.25" customHeight="1" x14ac:dyDescent="0.4">
      <c r="A109" s="498" t="s">
        <v>95</v>
      </c>
      <c r="B109" s="499">
        <v>1</v>
      </c>
      <c r="C109" s="645">
        <v>2</v>
      </c>
      <c r="D109" s="647">
        <v>1865531</v>
      </c>
      <c r="E109" s="625">
        <f t="shared" si="1"/>
        <v>561.4617630311152</v>
      </c>
      <c r="F109" s="652">
        <f t="shared" si="2"/>
        <v>93.576960505185866</v>
      </c>
    </row>
    <row r="110" spans="1:10" ht="26.25" customHeight="1" x14ac:dyDescent="0.4">
      <c r="A110" s="498" t="s">
        <v>96</v>
      </c>
      <c r="B110" s="499">
        <v>1</v>
      </c>
      <c r="C110" s="645">
        <v>3</v>
      </c>
      <c r="D110" s="647">
        <v>1858692</v>
      </c>
      <c r="E110" s="625">
        <f t="shared" si="1"/>
        <v>559.40345523705014</v>
      </c>
      <c r="F110" s="652">
        <f t="shared" si="2"/>
        <v>93.233909206175028</v>
      </c>
    </row>
    <row r="111" spans="1:10" ht="26.25" customHeight="1" x14ac:dyDescent="0.4">
      <c r="A111" s="498" t="s">
        <v>97</v>
      </c>
      <c r="B111" s="499">
        <v>1</v>
      </c>
      <c r="C111" s="645">
        <v>4</v>
      </c>
      <c r="D111" s="647">
        <v>2081764</v>
      </c>
      <c r="E111" s="625">
        <f t="shared" si="1"/>
        <v>626.54058584644599</v>
      </c>
      <c r="F111" s="652">
        <f t="shared" si="2"/>
        <v>104.42343097440767</v>
      </c>
    </row>
    <row r="112" spans="1:10" ht="26.25" customHeight="1" x14ac:dyDescent="0.4">
      <c r="A112" s="498" t="s">
        <v>98</v>
      </c>
      <c r="B112" s="499">
        <v>1</v>
      </c>
      <c r="C112" s="645">
        <v>5</v>
      </c>
      <c r="D112" s="647">
        <v>1970585</v>
      </c>
      <c r="E112" s="625">
        <f t="shared" si="1"/>
        <v>593.07946547265635</v>
      </c>
      <c r="F112" s="652">
        <f t="shared" si="2"/>
        <v>98.846577578776063</v>
      </c>
    </row>
    <row r="113" spans="1:10" ht="27" customHeight="1" x14ac:dyDescent="0.4">
      <c r="A113" s="498" t="s">
        <v>100</v>
      </c>
      <c r="B113" s="499">
        <v>1</v>
      </c>
      <c r="C113" s="646">
        <v>6</v>
      </c>
      <c r="D113" s="648">
        <v>1845791</v>
      </c>
      <c r="E113" s="626">
        <f t="shared" si="1"/>
        <v>555.52069038089689</v>
      </c>
      <c r="F113" s="653">
        <f t="shared" si="2"/>
        <v>92.586781730149482</v>
      </c>
    </row>
    <row r="114" spans="1:10" ht="27" customHeight="1" x14ac:dyDescent="0.4">
      <c r="A114" s="498" t="s">
        <v>101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102</v>
      </c>
      <c r="B115" s="499">
        <v>1</v>
      </c>
      <c r="C115" s="607"/>
      <c r="D115" s="631" t="s">
        <v>71</v>
      </c>
      <c r="E115" s="633">
        <f>AVERAGE(E108:E113)</f>
        <v>576.39891583483495</v>
      </c>
      <c r="F115" s="655">
        <f>AVERAGE(F108:F113)</f>
        <v>96.066485972472492</v>
      </c>
    </row>
    <row r="116" spans="1:10" ht="27" customHeight="1" x14ac:dyDescent="0.4">
      <c r="A116" s="498" t="s">
        <v>103</v>
      </c>
      <c r="B116" s="530">
        <f>(B115/B114)*(B113/B112)*(B111/B110)*(B109/B108)*B107</f>
        <v>1000</v>
      </c>
      <c r="C116" s="608"/>
      <c r="D116" s="632" t="s">
        <v>84</v>
      </c>
      <c r="E116" s="630">
        <f>STDEV(E108:E113)/E115</f>
        <v>4.8680283594022135E-2</v>
      </c>
      <c r="F116" s="609">
        <f>STDEV(F108:F113)/F115</f>
        <v>4.8680283594022128E-2</v>
      </c>
      <c r="I116" s="472"/>
    </row>
    <row r="117" spans="1:10" ht="27" customHeight="1" x14ac:dyDescent="0.4">
      <c r="A117" s="673" t="s">
        <v>78</v>
      </c>
      <c r="B117" s="674"/>
      <c r="C117" s="610"/>
      <c r="D117" s="569" t="s">
        <v>20</v>
      </c>
      <c r="E117" s="635">
        <f>COUNT(E108:E113)</f>
        <v>6</v>
      </c>
      <c r="F117" s="636">
        <f>COUNT(F108:F113)</f>
        <v>6</v>
      </c>
      <c r="I117" s="472"/>
      <c r="J117" s="603"/>
    </row>
    <row r="118" spans="1:10" ht="26.25" customHeight="1" x14ac:dyDescent="0.3">
      <c r="A118" s="675"/>
      <c r="B118" s="676"/>
      <c r="C118" s="472"/>
      <c r="D118" s="634"/>
      <c r="E118" s="701" t="s">
        <v>123</v>
      </c>
      <c r="F118" s="702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124</v>
      </c>
      <c r="E119" s="637">
        <f>MIN(E108:E113)</f>
        <v>555.52069038089689</v>
      </c>
      <c r="F119" s="656">
        <f>MIN(F108:F113)</f>
        <v>92.586781730149482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125</v>
      </c>
      <c r="E120" s="638">
        <f>MAX(E108:E113)</f>
        <v>626.54058584644599</v>
      </c>
      <c r="F120" s="657">
        <f>MAX(F108:F113)</f>
        <v>104.42343097440767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106</v>
      </c>
      <c r="B124" s="571" t="s">
        <v>126</v>
      </c>
      <c r="C124" s="677" t="str">
        <f>B26</f>
        <v>Efavirenz</v>
      </c>
      <c r="D124" s="677"/>
      <c r="E124" s="572" t="s">
        <v>127</v>
      </c>
      <c r="F124" s="572"/>
      <c r="G124" s="658">
        <f>F115</f>
        <v>96.066485972472492</v>
      </c>
      <c r="H124" s="472"/>
      <c r="I124" s="472"/>
    </row>
    <row r="125" spans="1:10" ht="45.75" customHeight="1" x14ac:dyDescent="0.65">
      <c r="A125" s="482"/>
      <c r="B125" s="571" t="s">
        <v>128</v>
      </c>
      <c r="C125" s="483" t="s">
        <v>129</v>
      </c>
      <c r="D125" s="658">
        <f>MIN(F108:F113)</f>
        <v>92.586781730149482</v>
      </c>
      <c r="E125" s="583" t="s">
        <v>130</v>
      </c>
      <c r="F125" s="658">
        <f>MAX(F108:F113)</f>
        <v>104.42343097440767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678" t="s">
        <v>26</v>
      </c>
      <c r="C127" s="678"/>
      <c r="E127" s="578" t="s">
        <v>27</v>
      </c>
      <c r="F127" s="613"/>
      <c r="G127" s="678" t="s">
        <v>28</v>
      </c>
      <c r="H127" s="678"/>
    </row>
    <row r="128" spans="1:10" ht="69.95" customHeight="1" x14ac:dyDescent="0.3">
      <c r="A128" s="614" t="s">
        <v>29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30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TDF</vt:lpstr>
      <vt:lpstr>SST Lamivudine</vt:lpstr>
      <vt:lpstr>SST Efavirenz</vt:lpstr>
      <vt:lpstr>Uniformity</vt:lpstr>
      <vt:lpstr>TDF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2018-07-25T10:20:32Z</cp:lastPrinted>
  <dcterms:created xsi:type="dcterms:W3CDTF">2005-07-05T10:19:27Z</dcterms:created>
  <dcterms:modified xsi:type="dcterms:W3CDTF">2018-07-25T10:51:01Z</dcterms:modified>
</cp:coreProperties>
</file>