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4"/>
  </bookViews>
  <sheets>
    <sheet name="SST Trimethoprim" sheetId="5" r:id="rId1"/>
    <sheet name="SST  Sulfamethoxazole" sheetId="6" r:id="rId2"/>
    <sheet name="Uniformity" sheetId="2" r:id="rId3"/>
    <sheet name="Trimethoprim" sheetId="3" r:id="rId4"/>
    <sheet name="Sulfamethoxazole" sheetId="4" r:id="rId5"/>
  </sheets>
  <definedNames>
    <definedName name="_xlnm.Print_Area" localSheetId="1">'SST  Sulfamethoxazole'!$A$15:$I$61</definedName>
    <definedName name="_xlnm.Print_Area" localSheetId="0">'SST Trimethoprim'!$A$15:$H$61</definedName>
    <definedName name="_xlnm.Print_Area" localSheetId="4">Sulfamethoxazole!$A$1:$I$129</definedName>
    <definedName name="_xlnm.Print_Area" localSheetId="3">Trimethoprim!$A$1:$I$129</definedName>
    <definedName name="_xlnm.Print_Area" localSheetId="2">Uniformity!$A$12:$H$54</definedName>
  </definedNames>
  <calcPr calcId="162913"/>
</workbook>
</file>

<file path=xl/calcChain.xml><?xml version="1.0" encoding="utf-8"?>
<calcChain xmlns="http://schemas.openxmlformats.org/spreadsheetml/2006/main">
  <c r="B53" i="6" l="1"/>
  <c r="G51" i="6"/>
  <c r="F51" i="6"/>
  <c r="E51" i="6"/>
  <c r="D51" i="6"/>
  <c r="C51" i="6"/>
  <c r="B51" i="6"/>
  <c r="B52" i="6" s="1"/>
  <c r="B32" i="6"/>
  <c r="G30" i="6"/>
  <c r="E30" i="6"/>
  <c r="D30" i="6"/>
  <c r="C30" i="6"/>
  <c r="B30" i="6"/>
  <c r="B31" i="6" s="1"/>
  <c r="F29" i="6"/>
  <c r="F28" i="6"/>
  <c r="F27" i="6"/>
  <c r="F26" i="6"/>
  <c r="F25" i="6"/>
  <c r="F24" i="6"/>
  <c r="B21" i="6"/>
  <c r="B53" i="5"/>
  <c r="F51" i="5"/>
  <c r="E51" i="5"/>
  <c r="D51" i="5"/>
  <c r="C51" i="5"/>
  <c r="B51" i="5"/>
  <c r="B52" i="5" s="1"/>
  <c r="B32" i="5"/>
  <c r="F30" i="5"/>
  <c r="D30" i="5"/>
  <c r="C30" i="5"/>
  <c r="B30" i="5"/>
  <c r="B31" i="5" s="1"/>
  <c r="E29" i="5"/>
  <c r="E28" i="5"/>
  <c r="E27" i="5"/>
  <c r="E26" i="5"/>
  <c r="E25" i="5"/>
  <c r="E24" i="5"/>
  <c r="B21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9" i="2" s="1"/>
  <c r="C45" i="2"/>
  <c r="C19" i="2"/>
  <c r="D50" i="2" l="1"/>
  <c r="B57" i="3"/>
  <c r="D42" i="2"/>
  <c r="D27" i="2"/>
  <c r="D31" i="2"/>
  <c r="D36" i="2"/>
  <c r="D41" i="2"/>
  <c r="D28" i="2"/>
  <c r="D33" i="2"/>
  <c r="D37" i="2"/>
  <c r="B49" i="2"/>
  <c r="D25" i="2"/>
  <c r="D29" i="2"/>
  <c r="D34" i="2"/>
  <c r="D38" i="2"/>
  <c r="D43" i="2"/>
  <c r="C49" i="2"/>
  <c r="D26" i="2"/>
  <c r="D30" i="2"/>
  <c r="D35" i="2"/>
  <c r="D39" i="2"/>
  <c r="C50" i="2"/>
  <c r="B57" i="4"/>
  <c r="F30" i="6"/>
  <c r="D24" i="2"/>
  <c r="D32" i="2"/>
  <c r="D40" i="2"/>
  <c r="E30" i="5"/>
  <c r="I92" i="4"/>
  <c r="B69" i="3"/>
  <c r="B69" i="4"/>
  <c r="I92" i="3"/>
  <c r="D101" i="3"/>
  <c r="D102" i="3" s="1"/>
  <c r="D97" i="3"/>
  <c r="D98" i="3" s="1"/>
  <c r="I39" i="3"/>
  <c r="F44" i="3"/>
  <c r="F45" i="3" s="1"/>
  <c r="D44" i="3"/>
  <c r="D45" i="3" s="1"/>
  <c r="D49" i="3"/>
  <c r="G41" i="3"/>
  <c r="F98" i="3"/>
  <c r="D101" i="4"/>
  <c r="D102" i="4" s="1"/>
  <c r="F97" i="4"/>
  <c r="F98" i="4" s="1"/>
  <c r="I39" i="4"/>
  <c r="F44" i="4"/>
  <c r="F45" i="4" s="1"/>
  <c r="D44" i="4"/>
  <c r="D45" i="4" s="1"/>
  <c r="D49" i="4"/>
  <c r="D98" i="4"/>
  <c r="E91" i="3" l="1"/>
  <c r="G39" i="3"/>
  <c r="G40" i="3"/>
  <c r="E92" i="3"/>
  <c r="E93" i="3"/>
  <c r="D99" i="3"/>
  <c r="E94" i="3"/>
  <c r="E40" i="3"/>
  <c r="E39" i="3"/>
  <c r="E38" i="3"/>
  <c r="E41" i="3"/>
  <c r="D46" i="3"/>
  <c r="F46" i="3"/>
  <c r="G38" i="3"/>
  <c r="G94" i="3"/>
  <c r="G91" i="3"/>
  <c r="G93" i="3"/>
  <c r="F99" i="3"/>
  <c r="G92" i="3"/>
  <c r="E41" i="4"/>
  <c r="E39" i="4"/>
  <c r="E40" i="4"/>
  <c r="E38" i="4"/>
  <c r="D46" i="4"/>
  <c r="E93" i="4"/>
  <c r="D99" i="4"/>
  <c r="E92" i="4"/>
  <c r="E94" i="4"/>
  <c r="E91" i="4"/>
  <c r="G41" i="4"/>
  <c r="G38" i="4"/>
  <c r="G40" i="4"/>
  <c r="F46" i="4"/>
  <c r="G39" i="4"/>
  <c r="G91" i="4"/>
  <c r="G93" i="4"/>
  <c r="G94" i="4"/>
  <c r="F99" i="4"/>
  <c r="G92" i="4"/>
  <c r="D103" i="3" l="1"/>
  <c r="E109" i="3" s="1"/>
  <c r="F109" i="3" s="1"/>
  <c r="E95" i="3"/>
  <c r="D52" i="3"/>
  <c r="E42" i="3"/>
  <c r="G95" i="3"/>
  <c r="D50" i="3"/>
  <c r="D51" i="3" s="1"/>
  <c r="G42" i="3"/>
  <c r="E113" i="3"/>
  <c r="F113" i="3" s="1"/>
  <c r="E111" i="3"/>
  <c r="F111" i="3" s="1"/>
  <c r="E108" i="3"/>
  <c r="E110" i="3"/>
  <c r="F110" i="3" s="1"/>
  <c r="G71" i="3"/>
  <c r="H71" i="3" s="1"/>
  <c r="G66" i="3"/>
  <c r="H66" i="3" s="1"/>
  <c r="G64" i="3"/>
  <c r="H64" i="3" s="1"/>
  <c r="G62" i="3"/>
  <c r="H62" i="3" s="1"/>
  <c r="G60" i="3"/>
  <c r="G68" i="3"/>
  <c r="H68" i="3" s="1"/>
  <c r="G67" i="3"/>
  <c r="H67" i="3" s="1"/>
  <c r="G63" i="3"/>
  <c r="H63" i="3" s="1"/>
  <c r="G61" i="3"/>
  <c r="H61" i="3" s="1"/>
  <c r="D105" i="3"/>
  <c r="E42" i="4"/>
  <c r="G95" i="4"/>
  <c r="G42" i="4"/>
  <c r="D52" i="4"/>
  <c r="D105" i="4"/>
  <c r="E95" i="4"/>
  <c r="D103" i="4"/>
  <c r="D50" i="4"/>
  <c r="G65" i="3" l="1"/>
  <c r="H65" i="3" s="1"/>
  <c r="G69" i="3"/>
  <c r="H69" i="3" s="1"/>
  <c r="G70" i="3"/>
  <c r="H70" i="3" s="1"/>
  <c r="D104" i="3"/>
  <c r="E112" i="3"/>
  <c r="F112" i="3" s="1"/>
  <c r="F108" i="3"/>
  <c r="H60" i="3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E111" i="4"/>
  <c r="F111" i="4" s="1"/>
  <c r="E109" i="4"/>
  <c r="F109" i="4" s="1"/>
  <c r="E112" i="4"/>
  <c r="F112" i="4" s="1"/>
  <c r="E110" i="4"/>
  <c r="F110" i="4" s="1"/>
  <c r="E108" i="4"/>
  <c r="E113" i="4"/>
  <c r="F113" i="4" s="1"/>
  <c r="D104" i="4"/>
  <c r="G72" i="3" l="1"/>
  <c r="G73" i="3" s="1"/>
  <c r="G74" i="3"/>
  <c r="E120" i="3"/>
  <c r="E119" i="3"/>
  <c r="E117" i="3"/>
  <c r="E115" i="3"/>
  <c r="E116" i="3" s="1"/>
  <c r="H74" i="3"/>
  <c r="H72" i="3"/>
  <c r="F125" i="3"/>
  <c r="F120" i="3"/>
  <c r="F117" i="3"/>
  <c r="D125" i="3"/>
  <c r="F115" i="3"/>
  <c r="F119" i="3"/>
  <c r="E119" i="4"/>
  <c r="E115" i="4"/>
  <c r="E116" i="4" s="1"/>
  <c r="E120" i="4"/>
  <c r="E117" i="4"/>
  <c r="F108" i="4"/>
  <c r="H60" i="4"/>
  <c r="G74" i="4"/>
  <c r="G72" i="4"/>
  <c r="G73" i="4" s="1"/>
  <c r="G76" i="3" l="1"/>
  <c r="H73" i="3"/>
  <c r="F116" i="3"/>
  <c r="G124" i="3"/>
  <c r="F125" i="4"/>
  <c r="F119" i="4"/>
  <c r="F117" i="4"/>
  <c r="D125" i="4"/>
  <c r="F115" i="4"/>
  <c r="F120" i="4"/>
  <c r="H74" i="4"/>
  <c r="H72" i="4"/>
  <c r="G124" i="4" l="1"/>
  <c r="F116" i="4"/>
  <c r="G76" i="4"/>
  <c r="H73" i="4"/>
</calcChain>
</file>

<file path=xl/sharedStrings.xml><?xml version="1.0" encoding="utf-8"?>
<sst xmlns="http://schemas.openxmlformats.org/spreadsheetml/2006/main" count="462" uniqueCount="142">
  <si>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</si>
  <si>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</si>
  <si>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</si>
  <si>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</si>
  <si>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</si>
  <si>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</si>
  <si>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</si>
  <si>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NDQB201808037</t>
  </si>
  <si>
    <t>Weight (mg):</t>
  </si>
  <si>
    <t>Sulfamethoxazole B.P 800 mg &amp; Trimethoprim B.P 160 mg</t>
  </si>
  <si>
    <t>Standard Conc (mg/mL):</t>
  </si>
  <si>
    <t>Each tablet contains: Sulphamethoxazole B.P 800 mg and Trimethoprim B.P 160 mg.</t>
  </si>
  <si>
    <t>2018-08-08 08:07:06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</si>
  <si>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</si>
  <si>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</si>
  <si>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</si>
  <si>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</si>
  <si>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</si>
  <si>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</si>
  <si>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</si>
  <si>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</si>
  <si>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</si>
  <si>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</si>
  <si>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</si>
  <si>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</si>
  <si>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</si>
  <si>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</si>
  <si>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</si>
  <si>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</si>
  <si>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</si>
  <si>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</si>
  <si>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</si>
  <si>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</si>
  <si>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</si>
  <si>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</si>
  <si>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</si>
  <si>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</si>
  <si>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</si>
  <si>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</si>
  <si>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</si>
  <si>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</si>
  <si>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</si>
  <si>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</si>
  <si>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</si>
  <si>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</si>
  <si>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</si>
  <si>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</si>
  <si>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</si>
  <si>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</si>
  <si>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</si>
  <si>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</si>
  <si>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</si>
  <si>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</si>
  <si>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</si>
  <si>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</si>
  <si>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</si>
  <si>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</si>
  <si>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</si>
  <si>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</si>
  <si>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</si>
  <si>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</si>
  <si>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</si>
  <si>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</si>
  <si>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</si>
  <si>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</si>
  <si>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</si>
  <si>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</si>
  <si>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</si>
  <si>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</si>
  <si>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</si>
  <si>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</si>
  <si>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</si>
  <si>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</si>
  <si>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</si>
  <si>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</si>
  <si>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</si>
  <si>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</si>
  <si>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</si>
  <si>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</si>
  <si>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</si>
  <si>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</si>
  <si>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</si>
  <si>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</si>
  <si>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</si>
  <si>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</si>
  <si>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</si>
  <si>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</si>
  <si>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</si>
  <si>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</si>
  <si>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</si>
  <si>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</si>
  <si>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</si>
  <si>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</si>
  <si>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</si>
  <si>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</si>
  <si>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</si>
  <si>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</si>
  <si>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</si>
  <si>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</si>
  <si>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</si>
  <si>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</si>
  <si>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</si>
  <si>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</si>
  <si>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</si>
  <si>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</si>
  <si>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</si>
  <si>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</si>
  <si>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</si>
  <si>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</si>
  <si>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</si>
  <si>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</si>
  <si>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</si>
  <si>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</si>
  <si>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</si>
  <si>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</si>
  <si>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</si>
  <si>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</si>
  <si>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</si>
  <si>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</si>
  <si>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</si>
  <si>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</si>
  <si>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</si>
  <si>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</si>
  <si>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</si>
  <si>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</si>
  <si>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</si>
  <si>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</si>
  <si>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</si>
  <si>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</si>
  <si>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S12-6</t>
  </si>
  <si>
    <t>Trimethoprim</t>
  </si>
  <si>
    <t>T7-5</t>
  </si>
  <si>
    <t xml:space="preserve">Trimethoprim </t>
  </si>
  <si>
    <t>RRT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</si>
  <si>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</si>
  <si>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</si>
  <si>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</si>
  <si>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5.0</t>
    </r>
  </si>
  <si>
    <t xml:space="preserve">RUTTO  KENNEDY </t>
  </si>
  <si>
    <t>16TH AUG 2018</t>
  </si>
  <si>
    <t>Resolution(USP)</t>
  </si>
  <si>
    <t>RUTTO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</si>
</sst>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10" fontId="26" fillId="2" borderId="9" xfId="1" applyNumberFormat="1" applyFont="1" applyFill="1" applyBorder="1"/>
    <xf numFmtId="10" fontId="26" fillId="2" borderId="0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5" sqref="B25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3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0" t="s">
        <v>0</v>
      </c>
      <c r="B15" s="470"/>
      <c r="C15" s="470"/>
      <c r="D15" s="470"/>
      <c r="E15" s="470"/>
      <c r="F15" s="470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3" t="s">
        <v>5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132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99.75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19.89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B20/25*4/100</f>
        <v>3.1823999999999998E-2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133</v>
      </c>
      <c r="F23" s="437" t="s">
        <v>17</v>
      </c>
    </row>
    <row r="24" spans="1:6" ht="16.5" customHeight="1" x14ac:dyDescent="0.3">
      <c r="A24" s="439">
        <v>1</v>
      </c>
      <c r="B24" s="440">
        <v>173822</v>
      </c>
      <c r="C24" s="440">
        <v>5629</v>
      </c>
      <c r="D24" s="441">
        <v>1.2</v>
      </c>
      <c r="E24" s="441">
        <f t="shared" ref="E24:E29" si="0">3/3</f>
        <v>1</v>
      </c>
      <c r="F24" s="442">
        <v>3</v>
      </c>
    </row>
    <row r="25" spans="1:6" ht="16.5" customHeight="1" x14ac:dyDescent="0.3">
      <c r="A25" s="439">
        <v>2</v>
      </c>
      <c r="B25" s="440">
        <v>173587</v>
      </c>
      <c r="C25" s="440">
        <v>5629</v>
      </c>
      <c r="D25" s="441">
        <v>1.2</v>
      </c>
      <c r="E25" s="441">
        <f t="shared" si="0"/>
        <v>1</v>
      </c>
      <c r="F25" s="441">
        <v>3</v>
      </c>
    </row>
    <row r="26" spans="1:6" ht="16.5" customHeight="1" x14ac:dyDescent="0.3">
      <c r="A26" s="439">
        <v>3</v>
      </c>
      <c r="B26" s="440">
        <v>173292</v>
      </c>
      <c r="C26" s="440">
        <v>5665</v>
      </c>
      <c r="D26" s="441">
        <v>1.2</v>
      </c>
      <c r="E26" s="441">
        <f t="shared" si="0"/>
        <v>1</v>
      </c>
      <c r="F26" s="441">
        <v>3</v>
      </c>
    </row>
    <row r="27" spans="1:6" ht="16.5" customHeight="1" x14ac:dyDescent="0.3">
      <c r="A27" s="439">
        <v>4</v>
      </c>
      <c r="B27" s="440">
        <v>173554</v>
      </c>
      <c r="C27" s="440">
        <v>5729</v>
      </c>
      <c r="D27" s="441">
        <v>1.2</v>
      </c>
      <c r="E27" s="441">
        <f t="shared" si="0"/>
        <v>1</v>
      </c>
      <c r="F27" s="441">
        <v>3</v>
      </c>
    </row>
    <row r="28" spans="1:6" ht="16.5" customHeight="1" x14ac:dyDescent="0.3">
      <c r="A28" s="439">
        <v>5</v>
      </c>
      <c r="B28" s="440">
        <v>173405</v>
      </c>
      <c r="C28" s="440">
        <v>5714</v>
      </c>
      <c r="D28" s="441">
        <v>1.2</v>
      </c>
      <c r="E28" s="441">
        <f t="shared" si="0"/>
        <v>1</v>
      </c>
      <c r="F28" s="441">
        <v>3</v>
      </c>
    </row>
    <row r="29" spans="1:6" ht="16.5" customHeight="1" x14ac:dyDescent="0.3">
      <c r="A29" s="439">
        <v>6</v>
      </c>
      <c r="B29" s="443">
        <v>173346</v>
      </c>
      <c r="C29" s="443">
        <v>5758</v>
      </c>
      <c r="D29" s="444">
        <v>1.2</v>
      </c>
      <c r="E29" s="444">
        <f t="shared" si="0"/>
        <v>1</v>
      </c>
      <c r="F29" s="444">
        <v>3</v>
      </c>
    </row>
    <row r="30" spans="1:6" ht="16.5" customHeight="1" x14ac:dyDescent="0.3">
      <c r="A30" s="445" t="s">
        <v>18</v>
      </c>
      <c r="B30" s="446">
        <f>AVERAGE(B24:B29)</f>
        <v>173501</v>
      </c>
      <c r="C30" s="447">
        <f>AVERAGE(C24:C29)</f>
        <v>5687.333333333333</v>
      </c>
      <c r="D30" s="448">
        <f>AVERAGE(D24:D29)</f>
        <v>1.2</v>
      </c>
      <c r="E30" s="448">
        <f>AVERAGE(E24:E29)</f>
        <v>1</v>
      </c>
      <c r="F30" s="448">
        <f>AVERAGE(F24:F29)</f>
        <v>3</v>
      </c>
    </row>
    <row r="31" spans="1:6" ht="16.5" customHeight="1" x14ac:dyDescent="0.3">
      <c r="A31" s="449" t="s">
        <v>19</v>
      </c>
      <c r="B31" s="450">
        <f>(STDEV(B24:B29)/B30)</f>
        <v>1.1240399192821609E-3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134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135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136</v>
      </c>
      <c r="C36" s="459"/>
      <c r="D36" s="459"/>
      <c r="E36" s="459"/>
      <c r="F36" s="459"/>
    </row>
    <row r="37" spans="1:6" ht="15.75" customHeight="1" x14ac:dyDescent="0.3">
      <c r="A37" s="433"/>
      <c r="B37" s="433" t="s">
        <v>137</v>
      </c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22</v>
      </c>
    </row>
    <row r="39" spans="1:6" ht="16.5" customHeight="1" x14ac:dyDescent="0.3">
      <c r="A39" s="434" t="s">
        <v>4</v>
      </c>
      <c r="B39" s="431"/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/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/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/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133</v>
      </c>
      <c r="F44" s="437" t="s">
        <v>17</v>
      </c>
    </row>
    <row r="45" spans="1:6" ht="16.5" customHeight="1" x14ac:dyDescent="0.3">
      <c r="A45" s="439">
        <v>1</v>
      </c>
      <c r="B45" s="440"/>
      <c r="C45" s="440"/>
      <c r="D45" s="441"/>
      <c r="E45" s="441"/>
      <c r="F45" s="442"/>
    </row>
    <row r="46" spans="1:6" ht="16.5" customHeight="1" x14ac:dyDescent="0.3">
      <c r="A46" s="439">
        <v>2</v>
      </c>
      <c r="B46" s="440"/>
      <c r="C46" s="440"/>
      <c r="D46" s="441"/>
      <c r="E46" s="441"/>
      <c r="F46" s="441"/>
    </row>
    <row r="47" spans="1:6" ht="16.5" customHeight="1" x14ac:dyDescent="0.3">
      <c r="A47" s="439">
        <v>3</v>
      </c>
      <c r="B47" s="440"/>
      <c r="C47" s="440"/>
      <c r="D47" s="441"/>
      <c r="E47" s="441"/>
      <c r="F47" s="441"/>
    </row>
    <row r="48" spans="1:6" ht="16.5" customHeight="1" x14ac:dyDescent="0.3">
      <c r="A48" s="439">
        <v>4</v>
      </c>
      <c r="B48" s="440"/>
      <c r="C48" s="440"/>
      <c r="D48" s="441"/>
      <c r="E48" s="441"/>
      <c r="F48" s="441"/>
    </row>
    <row r="49" spans="1:8" ht="16.5" customHeight="1" x14ac:dyDescent="0.3">
      <c r="A49" s="439">
        <v>5</v>
      </c>
      <c r="B49" s="440"/>
      <c r="C49" s="440"/>
      <c r="D49" s="441"/>
      <c r="E49" s="441"/>
      <c r="F49" s="441"/>
    </row>
    <row r="50" spans="1:8" ht="16.5" customHeight="1" x14ac:dyDescent="0.3">
      <c r="A50" s="439">
        <v>6</v>
      </c>
      <c r="B50" s="443"/>
      <c r="C50" s="443"/>
      <c r="D50" s="444"/>
      <c r="E50" s="444"/>
      <c r="F50" s="444"/>
    </row>
    <row r="51" spans="1:8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  <c r="F51" s="448" t="e">
        <f>AVERAGE(F45:F50)</f>
        <v>#DIV/0!</v>
      </c>
    </row>
    <row r="52" spans="1:8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134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135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136</v>
      </c>
      <c r="C57" s="459"/>
      <c r="D57" s="459"/>
      <c r="E57" s="459"/>
      <c r="F57" s="459"/>
    </row>
    <row r="58" spans="1:8" ht="14.25" customHeight="1" thickBot="1" x14ac:dyDescent="0.35">
      <c r="A58" s="460"/>
      <c r="B58" s="433" t="s">
        <v>137</v>
      </c>
      <c r="D58" s="461"/>
      <c r="E58" s="462"/>
      <c r="G58" s="463"/>
      <c r="H58" s="463"/>
    </row>
    <row r="59" spans="1:8" ht="15" customHeight="1" x14ac:dyDescent="0.3">
      <c r="B59" s="471" t="s">
        <v>23</v>
      </c>
      <c r="C59" s="471"/>
      <c r="F59" s="464" t="s">
        <v>24</v>
      </c>
      <c r="G59" s="465"/>
      <c r="H59" s="464" t="s">
        <v>25</v>
      </c>
    </row>
    <row r="60" spans="1:8" ht="15" customHeight="1" x14ac:dyDescent="0.3">
      <c r="A60" s="466" t="s">
        <v>26</v>
      </c>
      <c r="B60" s="467" t="s">
        <v>138</v>
      </c>
      <c r="C60" s="467"/>
      <c r="F60" s="467" t="s">
        <v>139</v>
      </c>
      <c r="H60" s="467"/>
    </row>
    <row r="61" spans="1:8" ht="15" customHeight="1" x14ac:dyDescent="0.3">
      <c r="A61" s="466" t="s">
        <v>27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1"/>
  <sheetViews>
    <sheetView workbookViewId="0">
      <selection activeCell="B23" sqref="B23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6" width="25.85546875" style="427" customWidth="1"/>
    <col min="7" max="7" width="25.7109375" style="427" customWidth="1"/>
    <col min="8" max="8" width="23.140625" style="427" customWidth="1"/>
    <col min="9" max="9" width="28.42578125" style="427" customWidth="1"/>
    <col min="10" max="10" width="21.5703125" style="427" customWidth="1"/>
    <col min="11" max="11" width="9.140625" style="427" customWidth="1"/>
    <col min="12" max="16384" width="9.140625" style="463"/>
  </cols>
  <sheetData>
    <row r="14" spans="1:8" ht="15" customHeight="1" x14ac:dyDescent="0.3">
      <c r="A14" s="426"/>
      <c r="C14" s="428"/>
      <c r="H14" s="428"/>
    </row>
    <row r="15" spans="1:8" ht="18.75" customHeight="1" x14ac:dyDescent="0.3">
      <c r="A15" s="470" t="s">
        <v>0</v>
      </c>
      <c r="B15" s="470"/>
      <c r="C15" s="470"/>
      <c r="D15" s="470"/>
      <c r="E15" s="470"/>
      <c r="F15" s="470"/>
      <c r="G15" s="470"/>
    </row>
    <row r="16" spans="1:8" ht="16.5" customHeight="1" x14ac:dyDescent="0.3">
      <c r="A16" s="429" t="s">
        <v>1</v>
      </c>
      <c r="B16" s="430" t="s">
        <v>2</v>
      </c>
    </row>
    <row r="17" spans="1:7" ht="16.5" customHeight="1" x14ac:dyDescent="0.3">
      <c r="A17" s="431" t="s">
        <v>3</v>
      </c>
      <c r="B17" s="3" t="s">
        <v>5</v>
      </c>
      <c r="D17" s="432"/>
      <c r="E17" s="432"/>
      <c r="F17" s="432"/>
      <c r="G17" s="433"/>
    </row>
    <row r="18" spans="1:7" ht="16.5" customHeight="1" x14ac:dyDescent="0.3">
      <c r="A18" s="434" t="s">
        <v>4</v>
      </c>
      <c r="B18" s="435" t="s">
        <v>128</v>
      </c>
      <c r="C18" s="433"/>
      <c r="D18" s="433"/>
      <c r="E18" s="433"/>
      <c r="F18" s="433"/>
      <c r="G18" s="433"/>
    </row>
    <row r="19" spans="1:7" ht="16.5" customHeight="1" x14ac:dyDescent="0.3">
      <c r="A19" s="434" t="s">
        <v>6</v>
      </c>
      <c r="B19" s="435">
        <v>99.02</v>
      </c>
      <c r="C19" s="433"/>
      <c r="D19" s="433"/>
      <c r="E19" s="433"/>
      <c r="F19" s="433"/>
      <c r="G19" s="433"/>
    </row>
    <row r="20" spans="1:7" ht="16.5" customHeight="1" x14ac:dyDescent="0.3">
      <c r="A20" s="431" t="s">
        <v>8</v>
      </c>
      <c r="B20" s="435">
        <v>16.739999999999998</v>
      </c>
      <c r="C20" s="433"/>
      <c r="D20" s="433"/>
      <c r="E20" s="433"/>
      <c r="F20" s="433"/>
      <c r="G20" s="433"/>
    </row>
    <row r="21" spans="1:7" ht="16.5" customHeight="1" x14ac:dyDescent="0.3">
      <c r="A21" s="431" t="s">
        <v>10</v>
      </c>
      <c r="B21" s="436">
        <f>B20/100</f>
        <v>0.16739999999999999</v>
      </c>
      <c r="C21" s="433"/>
      <c r="D21" s="433"/>
      <c r="E21" s="433"/>
      <c r="F21" s="433"/>
      <c r="G21" s="433"/>
    </row>
    <row r="22" spans="1:7" ht="15.75" customHeight="1" x14ac:dyDescent="0.25">
      <c r="A22" s="433"/>
      <c r="B22" s="433"/>
      <c r="C22" s="433"/>
      <c r="D22" s="433"/>
      <c r="E22" s="433"/>
      <c r="F22" s="433"/>
      <c r="G22" s="433"/>
    </row>
    <row r="23" spans="1:7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140</v>
      </c>
      <c r="F23" s="437" t="s">
        <v>133</v>
      </c>
      <c r="G23" s="437" t="s">
        <v>17</v>
      </c>
    </row>
    <row r="24" spans="1:7" ht="16.5" customHeight="1" x14ac:dyDescent="0.3">
      <c r="A24" s="439">
        <v>1</v>
      </c>
      <c r="B24" s="440">
        <v>2555853</v>
      </c>
      <c r="C24" s="440">
        <v>6924</v>
      </c>
      <c r="D24" s="441">
        <v>1.1000000000000001</v>
      </c>
      <c r="E24" s="441">
        <v>11.7</v>
      </c>
      <c r="F24" s="441">
        <f t="shared" ref="F24:F29" si="0">5.5/3</f>
        <v>1.8333333333333333</v>
      </c>
      <c r="G24" s="442">
        <v>5.5</v>
      </c>
    </row>
    <row r="25" spans="1:7" ht="16.5" customHeight="1" x14ac:dyDescent="0.3">
      <c r="A25" s="439">
        <v>2</v>
      </c>
      <c r="B25" s="440">
        <v>2557335</v>
      </c>
      <c r="C25" s="440">
        <v>6990</v>
      </c>
      <c r="D25" s="441">
        <v>1.1000000000000001</v>
      </c>
      <c r="E25" s="441">
        <v>11.8</v>
      </c>
      <c r="F25" s="441">
        <f t="shared" si="0"/>
        <v>1.8333333333333333</v>
      </c>
      <c r="G25" s="441">
        <v>5.5</v>
      </c>
    </row>
    <row r="26" spans="1:7" ht="16.5" customHeight="1" x14ac:dyDescent="0.3">
      <c r="A26" s="439">
        <v>3</v>
      </c>
      <c r="B26" s="440">
        <v>2560476</v>
      </c>
      <c r="C26" s="440">
        <v>6962</v>
      </c>
      <c r="D26" s="441">
        <v>1.1000000000000001</v>
      </c>
      <c r="E26" s="441">
        <v>11.7</v>
      </c>
      <c r="F26" s="441">
        <f t="shared" si="0"/>
        <v>1.8333333333333333</v>
      </c>
      <c r="G26" s="441">
        <v>5.5</v>
      </c>
    </row>
    <row r="27" spans="1:7" ht="16.5" customHeight="1" x14ac:dyDescent="0.3">
      <c r="A27" s="439">
        <v>4</v>
      </c>
      <c r="B27" s="440">
        <v>2561087</v>
      </c>
      <c r="C27" s="440">
        <v>7122</v>
      </c>
      <c r="D27" s="441">
        <v>1.1000000000000001</v>
      </c>
      <c r="E27" s="441">
        <v>11.9</v>
      </c>
      <c r="F27" s="441">
        <f t="shared" si="0"/>
        <v>1.8333333333333333</v>
      </c>
      <c r="G27" s="441">
        <v>5.5</v>
      </c>
    </row>
    <row r="28" spans="1:7" ht="16.5" customHeight="1" x14ac:dyDescent="0.3">
      <c r="A28" s="439">
        <v>5</v>
      </c>
      <c r="B28" s="440">
        <v>2558201</v>
      </c>
      <c r="C28" s="440">
        <v>7128</v>
      </c>
      <c r="D28" s="441">
        <v>1.1000000000000001</v>
      </c>
      <c r="E28" s="441">
        <v>11.9</v>
      </c>
      <c r="F28" s="441">
        <f t="shared" si="0"/>
        <v>1.8333333333333333</v>
      </c>
      <c r="G28" s="441">
        <v>5.5</v>
      </c>
    </row>
    <row r="29" spans="1:7" ht="16.5" customHeight="1" x14ac:dyDescent="0.3">
      <c r="A29" s="439">
        <v>6</v>
      </c>
      <c r="B29" s="443">
        <v>2560228</v>
      </c>
      <c r="C29" s="443">
        <v>7164</v>
      </c>
      <c r="D29" s="444">
        <v>1.1000000000000001</v>
      </c>
      <c r="E29" s="444">
        <v>11.9</v>
      </c>
      <c r="F29" s="444">
        <f t="shared" si="0"/>
        <v>1.8333333333333333</v>
      </c>
      <c r="G29" s="444">
        <v>5.5</v>
      </c>
    </row>
    <row r="30" spans="1:7" ht="16.5" customHeight="1" x14ac:dyDescent="0.3">
      <c r="A30" s="445" t="s">
        <v>18</v>
      </c>
      <c r="B30" s="446">
        <f t="shared" ref="B30:G30" si="1">AVERAGE(B24:B29)</f>
        <v>2558863.3333333335</v>
      </c>
      <c r="C30" s="447">
        <f t="shared" si="1"/>
        <v>7048.333333333333</v>
      </c>
      <c r="D30" s="448">
        <f t="shared" si="1"/>
        <v>1.0999999999999999</v>
      </c>
      <c r="E30" s="448">
        <f t="shared" si="1"/>
        <v>11.816666666666668</v>
      </c>
      <c r="F30" s="448">
        <f t="shared" si="1"/>
        <v>1.8333333333333333</v>
      </c>
      <c r="G30" s="448">
        <f t="shared" si="1"/>
        <v>5.5</v>
      </c>
    </row>
    <row r="31" spans="1:7" ht="16.5" customHeight="1" x14ac:dyDescent="0.3">
      <c r="A31" s="449" t="s">
        <v>19</v>
      </c>
      <c r="B31" s="450">
        <f>(STDEV(B24:B29)/B30)</f>
        <v>8.0554367536222863E-4</v>
      </c>
      <c r="C31" s="451"/>
      <c r="D31" s="451"/>
      <c r="E31" s="451"/>
      <c r="F31" s="451"/>
      <c r="G31" s="452"/>
    </row>
    <row r="32" spans="1:7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6"/>
      <c r="G32" s="457"/>
    </row>
    <row r="33" spans="1:7" s="427" customFormat="1" ht="15.75" customHeight="1" x14ac:dyDescent="0.25">
      <c r="A33" s="433"/>
      <c r="B33" s="433"/>
      <c r="C33" s="433"/>
      <c r="D33" s="433"/>
      <c r="E33" s="433"/>
      <c r="F33" s="433"/>
      <c r="G33" s="433"/>
    </row>
    <row r="34" spans="1:7" s="427" customFormat="1" ht="16.5" customHeight="1" x14ac:dyDescent="0.3">
      <c r="A34" s="434" t="s">
        <v>21</v>
      </c>
      <c r="B34" s="458" t="s">
        <v>134</v>
      </c>
      <c r="C34" s="459"/>
      <c r="D34" s="459"/>
      <c r="E34" s="459"/>
      <c r="F34" s="459"/>
      <c r="G34" s="459"/>
    </row>
    <row r="35" spans="1:7" ht="16.5" customHeight="1" x14ac:dyDescent="0.3">
      <c r="A35" s="434"/>
      <c r="B35" s="458" t="s">
        <v>135</v>
      </c>
      <c r="C35" s="459"/>
      <c r="D35" s="459"/>
      <c r="E35" s="459"/>
      <c r="F35" s="459"/>
      <c r="G35" s="459"/>
    </row>
    <row r="36" spans="1:7" ht="16.5" customHeight="1" x14ac:dyDescent="0.3">
      <c r="A36" s="434"/>
      <c r="B36" s="458" t="s">
        <v>136</v>
      </c>
      <c r="C36" s="459"/>
      <c r="D36" s="459"/>
      <c r="E36" s="459"/>
      <c r="F36" s="459"/>
      <c r="G36" s="459"/>
    </row>
    <row r="37" spans="1:7" ht="15.75" customHeight="1" x14ac:dyDescent="0.3">
      <c r="A37" s="433"/>
      <c r="B37" s="433" t="s">
        <v>137</v>
      </c>
      <c r="C37" s="433"/>
      <c r="D37" s="433"/>
      <c r="E37" s="433"/>
      <c r="F37" s="433"/>
      <c r="G37" s="433"/>
    </row>
    <row r="38" spans="1:7" ht="16.5" customHeight="1" x14ac:dyDescent="0.3">
      <c r="A38" s="429" t="s">
        <v>1</v>
      </c>
      <c r="B38" s="430" t="s">
        <v>22</v>
      </c>
    </row>
    <row r="39" spans="1:7" ht="16.5" customHeight="1" x14ac:dyDescent="0.3">
      <c r="A39" s="434" t="s">
        <v>4</v>
      </c>
      <c r="B39" s="431"/>
      <c r="C39" s="433"/>
      <c r="D39" s="433"/>
      <c r="E39" s="433"/>
      <c r="F39" s="433"/>
      <c r="G39" s="433"/>
    </row>
    <row r="40" spans="1:7" ht="16.5" customHeight="1" x14ac:dyDescent="0.3">
      <c r="A40" s="434" t="s">
        <v>6</v>
      </c>
      <c r="B40" s="435"/>
      <c r="C40" s="433"/>
      <c r="D40" s="433"/>
      <c r="E40" s="433"/>
      <c r="F40" s="433"/>
      <c r="G40" s="433"/>
    </row>
    <row r="41" spans="1:7" ht="16.5" customHeight="1" x14ac:dyDescent="0.3">
      <c r="A41" s="431" t="s">
        <v>8</v>
      </c>
      <c r="B41" s="435"/>
      <c r="C41" s="433"/>
      <c r="D41" s="433"/>
      <c r="E41" s="433"/>
      <c r="F41" s="433"/>
      <c r="G41" s="433"/>
    </row>
    <row r="42" spans="1:7" ht="16.5" customHeight="1" x14ac:dyDescent="0.3">
      <c r="A42" s="431" t="s">
        <v>10</v>
      </c>
      <c r="B42" s="436"/>
      <c r="C42" s="433"/>
      <c r="D42" s="433"/>
      <c r="E42" s="433"/>
      <c r="F42" s="433"/>
      <c r="G42" s="433"/>
    </row>
    <row r="43" spans="1:7" ht="15.75" customHeight="1" x14ac:dyDescent="0.25">
      <c r="A43" s="433"/>
      <c r="B43" s="433"/>
      <c r="C43" s="433"/>
      <c r="D43" s="433"/>
      <c r="E43" s="433"/>
      <c r="F43" s="433"/>
      <c r="G43" s="433"/>
    </row>
    <row r="44" spans="1:7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140</v>
      </c>
      <c r="F44" s="437" t="s">
        <v>133</v>
      </c>
      <c r="G44" s="437" t="s">
        <v>17</v>
      </c>
    </row>
    <row r="45" spans="1:7" ht="16.5" customHeight="1" x14ac:dyDescent="0.3">
      <c r="A45" s="439">
        <v>1</v>
      </c>
      <c r="B45" s="440"/>
      <c r="C45" s="440"/>
      <c r="D45" s="441"/>
      <c r="E45" s="441"/>
      <c r="F45" s="441"/>
      <c r="G45" s="442"/>
    </row>
    <row r="46" spans="1:7" ht="16.5" customHeight="1" x14ac:dyDescent="0.3">
      <c r="A46" s="439">
        <v>2</v>
      </c>
      <c r="B46" s="440"/>
      <c r="C46" s="440"/>
      <c r="D46" s="441"/>
      <c r="E46" s="441"/>
      <c r="F46" s="441"/>
      <c r="G46" s="441"/>
    </row>
    <row r="47" spans="1:7" ht="16.5" customHeight="1" x14ac:dyDescent="0.3">
      <c r="A47" s="439">
        <v>3</v>
      </c>
      <c r="B47" s="440"/>
      <c r="C47" s="440"/>
      <c r="D47" s="441"/>
      <c r="E47" s="441"/>
      <c r="F47" s="441"/>
      <c r="G47" s="441"/>
    </row>
    <row r="48" spans="1:7" ht="16.5" customHeight="1" x14ac:dyDescent="0.3">
      <c r="A48" s="439">
        <v>4</v>
      </c>
      <c r="B48" s="440"/>
      <c r="C48" s="440"/>
      <c r="D48" s="441"/>
      <c r="E48" s="441"/>
      <c r="F48" s="441"/>
      <c r="G48" s="441"/>
    </row>
    <row r="49" spans="1:9" ht="16.5" customHeight="1" x14ac:dyDescent="0.3">
      <c r="A49" s="439">
        <v>5</v>
      </c>
      <c r="B49" s="440"/>
      <c r="C49" s="440"/>
      <c r="D49" s="441"/>
      <c r="E49" s="441"/>
      <c r="F49" s="441"/>
      <c r="G49" s="441"/>
    </row>
    <row r="50" spans="1:9" ht="16.5" customHeight="1" x14ac:dyDescent="0.3">
      <c r="A50" s="439">
        <v>6</v>
      </c>
      <c r="B50" s="443"/>
      <c r="C50" s="443"/>
      <c r="D50" s="444"/>
      <c r="E50" s="444"/>
      <c r="F50" s="444"/>
      <c r="G50" s="444"/>
    </row>
    <row r="51" spans="1:9" ht="16.5" customHeight="1" x14ac:dyDescent="0.3">
      <c r="A51" s="445" t="s">
        <v>18</v>
      </c>
      <c r="B51" s="446" t="e">
        <f t="shared" ref="B51:G51" si="2">AVERAGE(B45:B50)</f>
        <v>#DIV/0!</v>
      </c>
      <c r="C51" s="447" t="e">
        <f t="shared" si="2"/>
        <v>#DIV/0!</v>
      </c>
      <c r="D51" s="448" t="e">
        <f t="shared" si="2"/>
        <v>#DIV/0!</v>
      </c>
      <c r="E51" s="448" t="e">
        <f t="shared" si="2"/>
        <v>#DIV/0!</v>
      </c>
      <c r="F51" s="448" t="e">
        <f t="shared" si="2"/>
        <v>#DIV/0!</v>
      </c>
      <c r="G51" s="448" t="e">
        <f t="shared" si="2"/>
        <v>#DIV/0!</v>
      </c>
    </row>
    <row r="52" spans="1:9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1"/>
      <c r="F52" s="451"/>
      <c r="G52" s="452"/>
    </row>
    <row r="53" spans="1:9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6"/>
      <c r="F53" s="456"/>
      <c r="G53" s="457"/>
    </row>
    <row r="54" spans="1:9" s="427" customFormat="1" ht="15.75" customHeight="1" x14ac:dyDescent="0.25">
      <c r="A54" s="433"/>
      <c r="B54" s="433"/>
      <c r="C54" s="433"/>
      <c r="D54" s="433"/>
      <c r="E54" s="433"/>
      <c r="F54" s="433"/>
      <c r="G54" s="433"/>
    </row>
    <row r="55" spans="1:9" s="427" customFormat="1" ht="16.5" customHeight="1" x14ac:dyDescent="0.3">
      <c r="A55" s="434" t="s">
        <v>21</v>
      </c>
      <c r="B55" s="458" t="s">
        <v>134</v>
      </c>
      <c r="C55" s="459"/>
      <c r="D55" s="459"/>
      <c r="E55" s="459"/>
      <c r="F55" s="459"/>
      <c r="G55" s="459"/>
    </row>
    <row r="56" spans="1:9" ht="16.5" customHeight="1" x14ac:dyDescent="0.3">
      <c r="A56" s="434"/>
      <c r="B56" s="458" t="s">
        <v>135</v>
      </c>
      <c r="C56" s="459"/>
      <c r="D56" s="459"/>
      <c r="E56" s="459"/>
      <c r="F56" s="459"/>
      <c r="G56" s="459"/>
    </row>
    <row r="57" spans="1:9" ht="16.5" customHeight="1" x14ac:dyDescent="0.3">
      <c r="A57" s="434"/>
      <c r="B57" s="458" t="s">
        <v>136</v>
      </c>
      <c r="C57" s="459"/>
      <c r="D57" s="459"/>
      <c r="E57" s="459"/>
      <c r="F57" s="459"/>
      <c r="G57" s="459"/>
    </row>
    <row r="58" spans="1:9" ht="14.25" customHeight="1" thickBot="1" x14ac:dyDescent="0.35">
      <c r="A58" s="460"/>
      <c r="B58" s="433" t="s">
        <v>137</v>
      </c>
      <c r="D58" s="461"/>
      <c r="E58" s="462"/>
      <c r="F58" s="462"/>
      <c r="H58" s="463"/>
      <c r="I58" s="463"/>
    </row>
    <row r="59" spans="1:9" ht="15" customHeight="1" x14ac:dyDescent="0.3">
      <c r="B59" s="471" t="s">
        <v>23</v>
      </c>
      <c r="C59" s="471"/>
      <c r="G59" s="464" t="s">
        <v>24</v>
      </c>
      <c r="H59" s="465"/>
      <c r="I59" s="464" t="s">
        <v>25</v>
      </c>
    </row>
    <row r="60" spans="1:9" ht="15" customHeight="1" x14ac:dyDescent="0.3">
      <c r="A60" s="466" t="s">
        <v>26</v>
      </c>
      <c r="B60" s="467" t="s">
        <v>141</v>
      </c>
      <c r="C60" s="467"/>
      <c r="G60" s="467" t="s">
        <v>139</v>
      </c>
      <c r="I60" s="467"/>
    </row>
    <row r="61" spans="1:9" ht="15" customHeight="1" x14ac:dyDescent="0.3">
      <c r="A61" s="466" t="s">
        <v>27</v>
      </c>
      <c r="B61" s="468"/>
      <c r="C61" s="468"/>
      <c r="G61" s="468"/>
      <c r="I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59:C59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28</v>
      </c>
      <c r="B11" s="476"/>
      <c r="C11" s="476"/>
      <c r="D11" s="476"/>
      <c r="E11" s="476"/>
      <c r="F11" s="477"/>
      <c r="G11" s="44"/>
    </row>
    <row r="12" spans="1:7" ht="16.5" customHeight="1" x14ac:dyDescent="0.3">
      <c r="A12" s="474" t="s">
        <v>29</v>
      </c>
      <c r="B12" s="474"/>
      <c r="C12" s="474"/>
      <c r="D12" s="474"/>
      <c r="E12" s="474"/>
      <c r="F12" s="474"/>
      <c r="G12" s="43"/>
    </row>
    <row r="14" spans="1:7" ht="16.5" customHeight="1" x14ac:dyDescent="0.3">
      <c r="A14" s="479" t="s">
        <v>30</v>
      </c>
      <c r="B14" s="479"/>
      <c r="C14" s="13" t="s">
        <v>5</v>
      </c>
    </row>
    <row r="15" spans="1:7" ht="16.5" customHeight="1" x14ac:dyDescent="0.3">
      <c r="A15" s="479" t="s">
        <v>31</v>
      </c>
      <c r="B15" s="479"/>
      <c r="C15" s="13" t="s">
        <v>7</v>
      </c>
    </row>
    <row r="16" spans="1:7" ht="16.5" customHeight="1" x14ac:dyDescent="0.3">
      <c r="A16" s="479" t="s">
        <v>32</v>
      </c>
      <c r="B16" s="479"/>
      <c r="C16" s="13" t="s">
        <v>9</v>
      </c>
    </row>
    <row r="17" spans="1:5" ht="16.5" customHeight="1" x14ac:dyDescent="0.3">
      <c r="A17" s="479" t="s">
        <v>33</v>
      </c>
      <c r="B17" s="479"/>
      <c r="C17" s="13" t="s">
        <v>11</v>
      </c>
    </row>
    <row r="18" spans="1:5" ht="16.5" customHeight="1" x14ac:dyDescent="0.3">
      <c r="A18" s="479" t="s">
        <v>34</v>
      </c>
      <c r="B18" s="479"/>
      <c r="C18" s="50" t="s">
        <v>12</v>
      </c>
    </row>
    <row r="19" spans="1:5" ht="16.5" customHeight="1" x14ac:dyDescent="0.3">
      <c r="A19" s="479" t="s">
        <v>35</v>
      </c>
      <c r="B19" s="47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74" t="s">
        <v>1</v>
      </c>
      <c r="B21" s="474"/>
      <c r="C21" s="12" t="s">
        <v>36</v>
      </c>
      <c r="D21" s="19"/>
    </row>
    <row r="22" spans="1:5" ht="15.75" customHeight="1" x14ac:dyDescent="0.3">
      <c r="A22" s="478"/>
      <c r="B22" s="478"/>
      <c r="C22" s="10"/>
      <c r="D22" s="478"/>
      <c r="E22" s="478"/>
    </row>
    <row r="23" spans="1:5" ht="33.75" customHeight="1" x14ac:dyDescent="0.3">
      <c r="C23" s="39" t="s">
        <v>37</v>
      </c>
      <c r="D23" s="38" t="s">
        <v>38</v>
      </c>
      <c r="E23" s="5"/>
    </row>
    <row r="24" spans="1:5" ht="15.75" customHeight="1" x14ac:dyDescent="0.3">
      <c r="C24" s="48">
        <v>1049.92</v>
      </c>
      <c r="D24" s="40">
        <f t="shared" ref="D24:D43" si="0">(C24-$C$46)/$C$46</f>
        <v>6.5723612207789462E-5</v>
      </c>
      <c r="E24" s="6"/>
    </row>
    <row r="25" spans="1:5" ht="15.75" customHeight="1" x14ac:dyDescent="0.3">
      <c r="C25" s="48">
        <v>1044.9000000000001</v>
      </c>
      <c r="D25" s="41">
        <f t="shared" si="0"/>
        <v>-4.7159073049413882E-3</v>
      </c>
      <c r="E25" s="6"/>
    </row>
    <row r="26" spans="1:5" ht="15.75" customHeight="1" x14ac:dyDescent="0.3">
      <c r="C26" s="48">
        <v>1049.18</v>
      </c>
      <c r="D26" s="41">
        <f t="shared" si="0"/>
        <v>-6.3913831581819617E-4</v>
      </c>
      <c r="E26" s="6"/>
    </row>
    <row r="27" spans="1:5" ht="15.75" customHeight="1" x14ac:dyDescent="0.3">
      <c r="C27" s="48">
        <v>1047.8599999999999</v>
      </c>
      <c r="D27" s="41">
        <f t="shared" si="0"/>
        <v>-1.8964595928376623E-3</v>
      </c>
      <c r="E27" s="6"/>
    </row>
    <row r="28" spans="1:5" ht="15.75" customHeight="1" x14ac:dyDescent="0.3">
      <c r="C28" s="48">
        <v>1053.4000000000001</v>
      </c>
      <c r="D28" s="41">
        <f t="shared" si="0"/>
        <v>3.3804797061678066E-3</v>
      </c>
      <c r="E28" s="6"/>
    </row>
    <row r="29" spans="1:5" ht="15.75" customHeight="1" x14ac:dyDescent="0.3">
      <c r="C29" s="48">
        <v>1043.51</v>
      </c>
      <c r="D29" s="41">
        <f t="shared" si="0"/>
        <v>-6.0399047102875749E-3</v>
      </c>
      <c r="E29" s="6"/>
    </row>
    <row r="30" spans="1:5" ht="15.75" customHeight="1" x14ac:dyDescent="0.3">
      <c r="C30" s="48">
        <v>1049.8599999999999</v>
      </c>
      <c r="D30" s="41">
        <f t="shared" si="0"/>
        <v>8.5726450703834892E-6</v>
      </c>
      <c r="E30" s="6"/>
    </row>
    <row r="31" spans="1:5" ht="15.75" customHeight="1" x14ac:dyDescent="0.3">
      <c r="C31" s="48">
        <v>1050.99</v>
      </c>
      <c r="D31" s="41">
        <f t="shared" si="0"/>
        <v>1.0849158594885334E-3</v>
      </c>
      <c r="E31" s="6"/>
    </row>
    <row r="32" spans="1:5" ht="15.75" customHeight="1" x14ac:dyDescent="0.3">
      <c r="C32" s="48">
        <v>1052.1099999999999</v>
      </c>
      <c r="D32" s="41">
        <f t="shared" si="0"/>
        <v>2.1517339127169349E-3</v>
      </c>
      <c r="E32" s="6"/>
    </row>
    <row r="33" spans="1:7" ht="15.75" customHeight="1" x14ac:dyDescent="0.3">
      <c r="C33" s="48">
        <v>1055.9100000000001</v>
      </c>
      <c r="D33" s="41">
        <f t="shared" si="0"/>
        <v>5.7712951647423951E-3</v>
      </c>
      <c r="E33" s="6"/>
    </row>
    <row r="34" spans="1:7" ht="15.75" customHeight="1" x14ac:dyDescent="0.3">
      <c r="C34" s="48">
        <v>1051.81</v>
      </c>
      <c r="D34" s="41">
        <f t="shared" si="0"/>
        <v>1.8659790770307716E-3</v>
      </c>
      <c r="E34" s="6"/>
    </row>
    <row r="35" spans="1:7" ht="15.75" customHeight="1" x14ac:dyDescent="0.3">
      <c r="C35" s="48">
        <v>1042.32</v>
      </c>
      <c r="D35" s="41">
        <f t="shared" si="0"/>
        <v>-7.1733988918429147E-3</v>
      </c>
      <c r="E35" s="6"/>
    </row>
    <row r="36" spans="1:7" ht="15.75" customHeight="1" x14ac:dyDescent="0.3">
      <c r="C36" s="48">
        <v>1050.49</v>
      </c>
      <c r="D36" s="41">
        <f t="shared" si="0"/>
        <v>6.0865780001152184E-4</v>
      </c>
      <c r="E36" s="6"/>
    </row>
    <row r="37" spans="1:7" ht="15.75" customHeight="1" x14ac:dyDescent="0.3">
      <c r="C37" s="48">
        <v>1051.25</v>
      </c>
      <c r="D37" s="41">
        <f t="shared" si="0"/>
        <v>1.3325700504165706E-3</v>
      </c>
      <c r="E37" s="6"/>
    </row>
    <row r="38" spans="1:7" ht="15.75" customHeight="1" x14ac:dyDescent="0.3">
      <c r="C38" s="48">
        <v>1048.54</v>
      </c>
      <c r="D38" s="41">
        <f t="shared" si="0"/>
        <v>-1.2487486319488661E-3</v>
      </c>
      <c r="E38" s="6"/>
    </row>
    <row r="39" spans="1:7" ht="15.75" customHeight="1" x14ac:dyDescent="0.3">
      <c r="C39" s="48">
        <v>1056.24</v>
      </c>
      <c r="D39" s="41">
        <f t="shared" si="0"/>
        <v>6.0856254839971539E-3</v>
      </c>
      <c r="E39" s="6"/>
    </row>
    <row r="40" spans="1:7" ht="15.75" customHeight="1" x14ac:dyDescent="0.3">
      <c r="C40" s="48">
        <v>1048.6300000000001</v>
      </c>
      <c r="D40" s="41">
        <f t="shared" si="0"/>
        <v>-1.1630221812428654E-3</v>
      </c>
      <c r="E40" s="6"/>
    </row>
    <row r="41" spans="1:7" ht="15.75" customHeight="1" x14ac:dyDescent="0.3">
      <c r="C41" s="48">
        <v>1044.69</v>
      </c>
      <c r="D41" s="41">
        <f t="shared" si="0"/>
        <v>-4.9159356899217679E-3</v>
      </c>
      <c r="E41" s="6"/>
    </row>
    <row r="42" spans="1:7" ht="15.75" customHeight="1" x14ac:dyDescent="0.3">
      <c r="C42" s="48">
        <v>1053.77</v>
      </c>
      <c r="D42" s="41">
        <f t="shared" si="0"/>
        <v>3.7329106701806912E-3</v>
      </c>
      <c r="E42" s="6"/>
    </row>
    <row r="43" spans="1:7" ht="16.5" customHeight="1" x14ac:dyDescent="0.3">
      <c r="C43" s="49">
        <v>1051.6400000000001</v>
      </c>
      <c r="D43" s="42">
        <f t="shared" si="0"/>
        <v>1.7040513368087348E-3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39</v>
      </c>
      <c r="C45" s="36">
        <f>SUM(C24:C44)</f>
        <v>20997.02</v>
      </c>
      <c r="D45" s="31"/>
      <c r="E45" s="7"/>
    </row>
    <row r="46" spans="1:7" ht="17.25" customHeight="1" x14ac:dyDescent="0.3">
      <c r="B46" s="35" t="s">
        <v>40</v>
      </c>
      <c r="C46" s="37">
        <f>AVERAGE(C24:C44)</f>
        <v>1049.8510000000001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40</v>
      </c>
      <c r="C48" s="38" t="s">
        <v>41</v>
      </c>
      <c r="D48" s="33"/>
      <c r="G48" s="11"/>
    </row>
    <row r="49" spans="1:6" ht="17.25" customHeight="1" x14ac:dyDescent="0.3">
      <c r="B49" s="472">
        <f>C46</f>
        <v>1049.8510000000001</v>
      </c>
      <c r="C49" s="46">
        <f>-IF(C46&lt;=80,10%,IF(C46&lt;250,7.5%,5%))</f>
        <v>-0.05</v>
      </c>
      <c r="D49" s="34">
        <f>IF(C46&lt;=80,C46*0.9,IF(C46&lt;250,C46*0.925,C46*0.95))</f>
        <v>997.35845000000006</v>
      </c>
    </row>
    <row r="50" spans="1:6" ht="17.25" customHeight="1" x14ac:dyDescent="0.3">
      <c r="B50" s="473"/>
      <c r="C50" s="47">
        <f>IF(C46&lt;=80, 10%, IF(C46&lt;250, 7.5%, 5%))</f>
        <v>0.05</v>
      </c>
      <c r="D50" s="34">
        <f>IF(C46&lt;=80, C46*1.1, IF(C46&lt;250, C46*1.075, C46*1.05))</f>
        <v>1102.3435500000003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23</v>
      </c>
      <c r="C52" s="20"/>
      <c r="D52" s="21" t="s">
        <v>24</v>
      </c>
      <c r="E52" s="22"/>
      <c r="F52" s="21" t="s">
        <v>25</v>
      </c>
    </row>
    <row r="53" spans="1:6" ht="34.5" customHeight="1" x14ac:dyDescent="0.3">
      <c r="A53" s="23" t="s">
        <v>26</v>
      </c>
      <c r="B53" s="24"/>
      <c r="C53" s="25"/>
      <c r="D53" s="24"/>
      <c r="E53" s="14"/>
      <c r="F53" s="26"/>
    </row>
    <row r="54" spans="1:6" ht="34.5" customHeight="1" x14ac:dyDescent="0.3">
      <c r="A54" s="23" t="s">
        <v>27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9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42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43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1"/>
    </row>
    <row r="16" spans="1:9" ht="19.5" customHeight="1" x14ac:dyDescent="0.3">
      <c r="A16" s="483" t="s">
        <v>28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44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53" t="s">
        <v>30</v>
      </c>
      <c r="B18" s="487" t="s">
        <v>5</v>
      </c>
      <c r="C18" s="487"/>
      <c r="D18" s="198"/>
      <c r="E18" s="54"/>
      <c r="F18" s="55"/>
      <c r="G18" s="55"/>
      <c r="H18" s="55"/>
    </row>
    <row r="19" spans="1:14" ht="26.25" customHeight="1" x14ac:dyDescent="0.4">
      <c r="A19" s="53" t="s">
        <v>31</v>
      </c>
      <c r="B19" s="56" t="s">
        <v>7</v>
      </c>
      <c r="C19" s="207">
        <v>1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32</v>
      </c>
      <c r="B20" s="482" t="s">
        <v>130</v>
      </c>
      <c r="C20" s="482"/>
      <c r="D20" s="55"/>
      <c r="E20" s="55"/>
      <c r="F20" s="55"/>
      <c r="G20" s="55"/>
      <c r="H20" s="55"/>
    </row>
    <row r="21" spans="1:14" ht="26.25" customHeight="1" x14ac:dyDescent="0.4">
      <c r="A21" s="53" t="s">
        <v>33</v>
      </c>
      <c r="B21" s="482" t="s">
        <v>11</v>
      </c>
      <c r="C21" s="482"/>
      <c r="D21" s="482"/>
      <c r="E21" s="482"/>
      <c r="F21" s="482"/>
      <c r="G21" s="482"/>
      <c r="H21" s="482"/>
      <c r="I21" s="57"/>
    </row>
    <row r="22" spans="1:14" ht="26.25" customHeight="1" x14ac:dyDescent="0.4">
      <c r="A22" s="53" t="s">
        <v>34</v>
      </c>
      <c r="B22" s="58">
        <v>43322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35</v>
      </c>
      <c r="B23" s="245">
        <v>43325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482" t="s">
        <v>130</v>
      </c>
      <c r="C26" s="482"/>
    </row>
    <row r="27" spans="1:14" ht="26.25" customHeight="1" x14ac:dyDescent="0.4">
      <c r="A27" s="62" t="s">
        <v>45</v>
      </c>
      <c r="B27" s="488" t="s">
        <v>131</v>
      </c>
      <c r="C27" s="488"/>
    </row>
    <row r="28" spans="1:14" ht="27" customHeight="1" x14ac:dyDescent="0.4">
      <c r="A28" s="62" t="s">
        <v>6</v>
      </c>
      <c r="B28" s="63">
        <v>99.75</v>
      </c>
    </row>
    <row r="29" spans="1:14" s="4" customFormat="1" ht="27" customHeight="1" x14ac:dyDescent="0.4">
      <c r="A29" s="62" t="s">
        <v>46</v>
      </c>
      <c r="B29" s="64">
        <v>0</v>
      </c>
      <c r="C29" s="489" t="s">
        <v>47</v>
      </c>
      <c r="D29" s="490"/>
      <c r="E29" s="490"/>
      <c r="F29" s="490"/>
      <c r="G29" s="491"/>
      <c r="I29" s="65"/>
      <c r="J29" s="65"/>
      <c r="K29" s="65"/>
      <c r="L29" s="65"/>
    </row>
    <row r="30" spans="1:14" s="4" customFormat="1" ht="19.5" customHeight="1" x14ac:dyDescent="0.3">
      <c r="A30" s="62" t="s">
        <v>48</v>
      </c>
      <c r="B30" s="66">
        <f>B28-B29</f>
        <v>99.75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49</v>
      </c>
      <c r="B31" s="69">
        <v>1</v>
      </c>
      <c r="C31" s="492" t="s">
        <v>50</v>
      </c>
      <c r="D31" s="493"/>
      <c r="E31" s="493"/>
      <c r="F31" s="493"/>
      <c r="G31" s="493"/>
      <c r="H31" s="494"/>
      <c r="I31" s="65"/>
      <c r="J31" s="65"/>
      <c r="K31" s="65"/>
      <c r="L31" s="65"/>
    </row>
    <row r="32" spans="1:14" s="4" customFormat="1" ht="27" customHeight="1" x14ac:dyDescent="0.4">
      <c r="A32" s="62" t="s">
        <v>51</v>
      </c>
      <c r="B32" s="69">
        <v>1</v>
      </c>
      <c r="C32" s="492" t="s">
        <v>52</v>
      </c>
      <c r="D32" s="493"/>
      <c r="E32" s="493"/>
      <c r="F32" s="493"/>
      <c r="G32" s="493"/>
      <c r="H32" s="494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53</v>
      </c>
      <c r="B34" s="74">
        <f>B31/B32</f>
        <v>1</v>
      </c>
      <c r="C34" s="52" t="s">
        <v>54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55</v>
      </c>
      <c r="B36" s="76">
        <v>25</v>
      </c>
      <c r="C36" s="52"/>
      <c r="D36" s="495" t="s">
        <v>56</v>
      </c>
      <c r="E36" s="496"/>
      <c r="F36" s="495" t="s">
        <v>57</v>
      </c>
      <c r="G36" s="497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58</v>
      </c>
      <c r="B37" s="78">
        <v>4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63</v>
      </c>
      <c r="B38" s="78">
        <v>100</v>
      </c>
      <c r="C38" s="84">
        <v>1</v>
      </c>
      <c r="D38" s="272">
        <v>173232</v>
      </c>
      <c r="E38" s="85">
        <f>IF(ISBLANK(D38),"-",$D$48/$D$45*D38)</f>
        <v>174626.61177831457</v>
      </c>
      <c r="F38" s="272">
        <v>178721</v>
      </c>
      <c r="G38" s="86">
        <f>IF(ISBLANK(F38),"-",$D$48/$F$45*F38)</f>
        <v>175569.74258281666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64</v>
      </c>
      <c r="B39" s="78">
        <v>1</v>
      </c>
      <c r="C39" s="88">
        <v>2</v>
      </c>
      <c r="D39" s="277">
        <v>172867</v>
      </c>
      <c r="E39" s="90">
        <f>IF(ISBLANK(D39),"-",$D$48/$D$45*D39)</f>
        <v>174258.67332988075</v>
      </c>
      <c r="F39" s="277">
        <v>177684</v>
      </c>
      <c r="G39" s="91">
        <f>IF(ISBLANK(F39),"-",$D$48/$F$45*F39)</f>
        <v>174551.02724965281</v>
      </c>
      <c r="I39" s="499">
        <f>ABS((F43/D43*D42)-F42)/D42</f>
        <v>2.901013821513651E-3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8">
        <v>3</v>
      </c>
      <c r="D40" s="277">
        <v>173512</v>
      </c>
      <c r="E40" s="90">
        <f>IF(ISBLANK(D40),"-",$D$48/$D$45*D40)</f>
        <v>174908.86593053775</v>
      </c>
      <c r="F40" s="277">
        <v>178298</v>
      </c>
      <c r="G40" s="91">
        <f>IF(ISBLANK(F40),"-",$D$48/$F$45*F40)</f>
        <v>175154.20103418763</v>
      </c>
      <c r="I40" s="499"/>
      <c r="L40" s="70"/>
      <c r="M40" s="70"/>
      <c r="N40" s="92"/>
    </row>
    <row r="41" spans="1:14" ht="27" customHeight="1" x14ac:dyDescent="0.4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67</v>
      </c>
      <c r="B42" s="78">
        <v>1</v>
      </c>
      <c r="C42" s="98" t="s">
        <v>68</v>
      </c>
      <c r="D42" s="99">
        <f>AVERAGE(D38:D41)</f>
        <v>173203.66666666666</v>
      </c>
      <c r="E42" s="100">
        <f>AVERAGE(E38:E41)</f>
        <v>174598.05034624436</v>
      </c>
      <c r="F42" s="99">
        <f>AVERAGE(F38:F41)</f>
        <v>178234.33333333334</v>
      </c>
      <c r="G42" s="101">
        <f>AVERAGE(G38:G41)</f>
        <v>175091.65695555237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19.89</v>
      </c>
      <c r="E43" s="92"/>
      <c r="F43" s="104">
        <v>20.41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19.89</v>
      </c>
      <c r="E44" s="107"/>
      <c r="F44" s="106">
        <f>F43*$B$34</f>
        <v>20.41</v>
      </c>
      <c r="H44" s="102"/>
    </row>
    <row r="45" spans="1:14" ht="19.5" customHeight="1" x14ac:dyDescent="0.3">
      <c r="A45" s="77" t="s">
        <v>73</v>
      </c>
      <c r="B45" s="108">
        <f>(B44/B43)*(B42/B41)*(B40/B39)*(B38/B37)*B36</f>
        <v>625</v>
      </c>
      <c r="C45" s="105" t="s">
        <v>74</v>
      </c>
      <c r="D45" s="109">
        <f>D44*$B$30/100</f>
        <v>19.840275000000002</v>
      </c>
      <c r="E45" s="110"/>
      <c r="F45" s="109">
        <f>F44*$B$30/100</f>
        <v>20.358975000000001</v>
      </c>
      <c r="H45" s="102"/>
    </row>
    <row r="46" spans="1:14" ht="19.5" customHeight="1" x14ac:dyDescent="0.3">
      <c r="A46" s="500" t="s">
        <v>75</v>
      </c>
      <c r="B46" s="501"/>
      <c r="C46" s="105" t="s">
        <v>76</v>
      </c>
      <c r="D46" s="111">
        <f>D45/$B$45</f>
        <v>3.1744440000000006E-2</v>
      </c>
      <c r="E46" s="112"/>
      <c r="F46" s="113">
        <f>F45/$B$45</f>
        <v>3.2574360000000004E-2</v>
      </c>
      <c r="H46" s="102"/>
    </row>
    <row r="47" spans="1:14" ht="27" customHeight="1" x14ac:dyDescent="0.4">
      <c r="A47" s="502"/>
      <c r="B47" s="503"/>
      <c r="C47" s="114" t="s">
        <v>77</v>
      </c>
      <c r="D47" s="115">
        <v>3.2000000000000001E-2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5" t="s">
        <v>80</v>
      </c>
      <c r="D50" s="121">
        <f>AVERAGE(E38:E41,G38:G41)</f>
        <v>174844.85365089835</v>
      </c>
      <c r="F50" s="122"/>
      <c r="H50" s="102"/>
    </row>
    <row r="51" spans="1:12" ht="18.75" x14ac:dyDescent="0.3">
      <c r="C51" s="77" t="s">
        <v>81</v>
      </c>
      <c r="D51" s="123">
        <f>STDEV(E38:E41,G38:G41)/D50</f>
        <v>2.6860622342617987E-3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2" t="s">
        <v>83</v>
      </c>
      <c r="B55" s="128" t="str">
        <f>B21</f>
        <v>Each tablet contains: Sulphamethoxazole B.P 800 mg and Trimethoprim B.P 160 mg.</v>
      </c>
    </row>
    <row r="56" spans="1:12" ht="26.25" customHeight="1" x14ac:dyDescent="0.4">
      <c r="A56" s="129" t="s">
        <v>84</v>
      </c>
      <c r="B56" s="130">
        <v>160</v>
      </c>
      <c r="C56" s="52" t="str">
        <f>B20</f>
        <v>Trimethoprim</v>
      </c>
      <c r="H56" s="131"/>
    </row>
    <row r="57" spans="1:12" ht="18.75" x14ac:dyDescent="0.3">
      <c r="A57" s="128" t="s">
        <v>85</v>
      </c>
      <c r="B57" s="199">
        <f>Uniformity!C46</f>
        <v>1049.8510000000001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86</v>
      </c>
      <c r="B59" s="76">
        <v>100</v>
      </c>
      <c r="C59" s="52"/>
      <c r="D59" s="132" t="s">
        <v>87</v>
      </c>
      <c r="E59" s="133" t="s">
        <v>59</v>
      </c>
      <c r="F59" s="133" t="s">
        <v>60</v>
      </c>
      <c r="G59" s="133" t="s">
        <v>88</v>
      </c>
      <c r="H59" s="79" t="s">
        <v>89</v>
      </c>
      <c r="L59" s="65"/>
    </row>
    <row r="60" spans="1:12" s="4" customFormat="1" ht="26.25" customHeight="1" x14ac:dyDescent="0.4">
      <c r="A60" s="77" t="s">
        <v>90</v>
      </c>
      <c r="B60" s="78">
        <v>5</v>
      </c>
      <c r="C60" s="504" t="s">
        <v>91</v>
      </c>
      <c r="D60" s="507">
        <v>216.16</v>
      </c>
      <c r="E60" s="134">
        <v>1</v>
      </c>
      <c r="F60" s="135">
        <v>187116</v>
      </c>
      <c r="G60" s="200">
        <f>IF(ISBLANK(F60),"-",(F60/$D$50*$D$47*$B$68)*($B$57/$D$60))</f>
        <v>166.32609218202469</v>
      </c>
      <c r="H60" s="218">
        <f t="shared" ref="H60:H71" si="0">IF(ISBLANK(F60),"-",(G60/$B$56)*100)</f>
        <v>103.95380761376542</v>
      </c>
      <c r="L60" s="65"/>
    </row>
    <row r="61" spans="1:12" s="4" customFormat="1" ht="26.25" customHeight="1" x14ac:dyDescent="0.4">
      <c r="A61" s="77" t="s">
        <v>92</v>
      </c>
      <c r="B61" s="78">
        <v>50</v>
      </c>
      <c r="C61" s="505"/>
      <c r="D61" s="508"/>
      <c r="E61" s="136">
        <v>2</v>
      </c>
      <c r="F61" s="89">
        <v>187680</v>
      </c>
      <c r="G61" s="201">
        <f>IF(ISBLANK(F61),"-",(F61/$D$50*$D$47*$B$68)*($B$57/$D$60))</f>
        <v>166.82742780265926</v>
      </c>
      <c r="H61" s="219">
        <f t="shared" si="0"/>
        <v>104.26714237666204</v>
      </c>
      <c r="L61" s="65"/>
    </row>
    <row r="62" spans="1:12" s="4" customFormat="1" ht="26.25" customHeight="1" x14ac:dyDescent="0.4">
      <c r="A62" s="77" t="s">
        <v>93</v>
      </c>
      <c r="B62" s="78">
        <v>1</v>
      </c>
      <c r="C62" s="505"/>
      <c r="D62" s="508"/>
      <c r="E62" s="136">
        <v>3</v>
      </c>
      <c r="F62" s="137">
        <v>187683</v>
      </c>
      <c r="G62" s="201">
        <f>IF(ISBLANK(F62),"-",(F62/$D$50*$D$47*$B$68)*($B$57/$D$60))</f>
        <v>166.83009448149244</v>
      </c>
      <c r="H62" s="219">
        <f t="shared" si="0"/>
        <v>104.26880905093276</v>
      </c>
      <c r="L62" s="65"/>
    </row>
    <row r="63" spans="1:12" ht="27" customHeight="1" x14ac:dyDescent="0.4">
      <c r="A63" s="77" t="s">
        <v>94</v>
      </c>
      <c r="B63" s="78">
        <v>1</v>
      </c>
      <c r="C63" s="506"/>
      <c r="D63" s="50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504" t="s">
        <v>96</v>
      </c>
      <c r="D64" s="507">
        <v>208.1</v>
      </c>
      <c r="E64" s="134">
        <v>1</v>
      </c>
      <c r="F64" s="135">
        <v>179474</v>
      </c>
      <c r="G64" s="200">
        <f>IF(ISBLANK(F64),"-",(F64/$D$50*$D$47*$B$68)*($B$57/$D$64))</f>
        <v>165.71211208355297</v>
      </c>
      <c r="H64" s="218">
        <f t="shared" si="0"/>
        <v>103.57007005222061</v>
      </c>
    </row>
    <row r="65" spans="1:8" ht="26.25" customHeight="1" x14ac:dyDescent="0.4">
      <c r="A65" s="77" t="s">
        <v>97</v>
      </c>
      <c r="B65" s="78">
        <v>1</v>
      </c>
      <c r="C65" s="505"/>
      <c r="D65" s="508"/>
      <c r="E65" s="136">
        <v>2</v>
      </c>
      <c r="F65" s="89">
        <v>179509</v>
      </c>
      <c r="G65" s="201">
        <f>IF(ISBLANK(F65),"-",(F65/$D$50*$D$47*$B$68)*($B$57/$D$64))</f>
        <v>165.74442831834421</v>
      </c>
      <c r="H65" s="219">
        <f t="shared" si="0"/>
        <v>103.59026769896514</v>
      </c>
    </row>
    <row r="66" spans="1:8" ht="26.25" customHeight="1" x14ac:dyDescent="0.4">
      <c r="A66" s="77" t="s">
        <v>98</v>
      </c>
      <c r="B66" s="78">
        <v>1</v>
      </c>
      <c r="C66" s="505"/>
      <c r="D66" s="508"/>
      <c r="E66" s="136">
        <v>3</v>
      </c>
      <c r="F66" s="89">
        <v>179542</v>
      </c>
      <c r="G66" s="201">
        <f>IF(ISBLANK(F66),"-",(F66/$D$50*$D$47*$B$68)*($B$57/$D$64))</f>
        <v>165.77489791114741</v>
      </c>
      <c r="H66" s="219">
        <f t="shared" si="0"/>
        <v>103.60931119446713</v>
      </c>
    </row>
    <row r="67" spans="1:8" ht="27" customHeight="1" x14ac:dyDescent="0.4">
      <c r="A67" s="77" t="s">
        <v>99</v>
      </c>
      <c r="B67" s="78">
        <v>1</v>
      </c>
      <c r="C67" s="506"/>
      <c r="D67" s="50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7" t="s">
        <v>100</v>
      </c>
      <c r="B68" s="140">
        <f>(B67/B66)*(B65/B64)*(B63/B62)*(B61/B60)*B59</f>
        <v>1000</v>
      </c>
      <c r="C68" s="504" t="s">
        <v>101</v>
      </c>
      <c r="D68" s="507">
        <v>209.85</v>
      </c>
      <c r="E68" s="134">
        <v>1</v>
      </c>
      <c r="F68" s="135">
        <v>182081</v>
      </c>
      <c r="G68" s="200">
        <f>IF(ISBLANK(F68),"-",(F68/$D$50*$D$47*$B$68)*($B$57/$D$68))</f>
        <v>166.71721507415921</v>
      </c>
      <c r="H68" s="219">
        <f t="shared" si="0"/>
        <v>104.1982594213495</v>
      </c>
    </row>
    <row r="69" spans="1:8" ht="27" customHeight="1" x14ac:dyDescent="0.4">
      <c r="A69" s="124" t="s">
        <v>102</v>
      </c>
      <c r="B69" s="141">
        <f>(D47*B68)/B56*B57</f>
        <v>209.97020000000003</v>
      </c>
      <c r="C69" s="505"/>
      <c r="D69" s="508"/>
      <c r="E69" s="136">
        <v>2</v>
      </c>
      <c r="F69" s="89">
        <v>181395</v>
      </c>
      <c r="G69" s="201">
        <f>IF(ISBLANK(F69),"-",(F69/$D$50*$D$47*$B$68)*($B$57/$D$68))</f>
        <v>166.08909896352233</v>
      </c>
      <c r="H69" s="219">
        <f t="shared" si="0"/>
        <v>103.80568685220146</v>
      </c>
    </row>
    <row r="70" spans="1:8" ht="26.25" customHeight="1" x14ac:dyDescent="0.4">
      <c r="A70" s="517" t="s">
        <v>75</v>
      </c>
      <c r="B70" s="518"/>
      <c r="C70" s="505"/>
      <c r="D70" s="508"/>
      <c r="E70" s="136">
        <v>3</v>
      </c>
      <c r="F70" s="89">
        <v>182335</v>
      </c>
      <c r="G70" s="201">
        <f>IF(ISBLANK(F70),"-",(F70/$D$50*$D$47*$B$68)*($B$57/$D$68))</f>
        <v>166.94978284690231</v>
      </c>
      <c r="H70" s="219">
        <f t="shared" si="0"/>
        <v>104.34361427931394</v>
      </c>
    </row>
    <row r="71" spans="1:8" ht="27" customHeight="1" x14ac:dyDescent="0.4">
      <c r="A71" s="519"/>
      <c r="B71" s="520"/>
      <c r="C71" s="516"/>
      <c r="D71" s="50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166.33012774042274</v>
      </c>
      <c r="H72" s="221">
        <f>AVERAGE(H60:H71)</f>
        <v>103.95632983776423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3.0967347659032634E-3</v>
      </c>
      <c r="H73" s="205">
        <f>STDEV(H60:H71)/H72</f>
        <v>3.0967347659032153E-3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1" t="s">
        <v>103</v>
      </c>
      <c r="B76" s="149" t="s">
        <v>104</v>
      </c>
      <c r="C76" s="512" t="str">
        <f>B26</f>
        <v>Trimethoprim</v>
      </c>
      <c r="D76" s="512"/>
      <c r="E76" s="150" t="s">
        <v>105</v>
      </c>
      <c r="F76" s="150"/>
      <c r="G76" s="237">
        <f>H72</f>
        <v>103.95632983776423</v>
      </c>
      <c r="H76" s="152"/>
    </row>
    <row r="77" spans="1:8" ht="18.75" x14ac:dyDescent="0.3">
      <c r="A77" s="60" t="s">
        <v>106</v>
      </c>
      <c r="B77" s="60" t="s">
        <v>107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498" t="str">
        <f>B26</f>
        <v>Trimethoprim</v>
      </c>
      <c r="C79" s="498"/>
    </row>
    <row r="80" spans="1:8" ht="26.25" customHeight="1" x14ac:dyDescent="0.4">
      <c r="A80" s="62" t="s">
        <v>45</v>
      </c>
      <c r="B80" s="498" t="str">
        <f>B27</f>
        <v>T7-5</v>
      </c>
      <c r="C80" s="498"/>
    </row>
    <row r="81" spans="1:12" ht="27" customHeight="1" x14ac:dyDescent="0.4">
      <c r="A81" s="62" t="s">
        <v>6</v>
      </c>
      <c r="B81" s="153">
        <f>B28</f>
        <v>99.75</v>
      </c>
    </row>
    <row r="82" spans="1:12" s="4" customFormat="1" ht="27" customHeight="1" x14ac:dyDescent="0.4">
      <c r="A82" s="62" t="s">
        <v>46</v>
      </c>
      <c r="B82" s="64">
        <v>0</v>
      </c>
      <c r="C82" s="489" t="s">
        <v>47</v>
      </c>
      <c r="D82" s="490"/>
      <c r="E82" s="490"/>
      <c r="F82" s="490"/>
      <c r="G82" s="491"/>
      <c r="I82" s="65"/>
      <c r="J82" s="65"/>
      <c r="K82" s="65"/>
      <c r="L82" s="65"/>
    </row>
    <row r="83" spans="1:12" s="4" customFormat="1" ht="19.5" customHeight="1" x14ac:dyDescent="0.3">
      <c r="A83" s="62" t="s">
        <v>48</v>
      </c>
      <c r="B83" s="66">
        <f>B81-B82</f>
        <v>99.75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49</v>
      </c>
      <c r="B84" s="69">
        <v>1</v>
      </c>
      <c r="C84" s="492" t="s">
        <v>108</v>
      </c>
      <c r="D84" s="493"/>
      <c r="E84" s="493"/>
      <c r="F84" s="493"/>
      <c r="G84" s="493"/>
      <c r="H84" s="494"/>
      <c r="I84" s="65"/>
      <c r="J84" s="65"/>
      <c r="K84" s="65"/>
      <c r="L84" s="65"/>
    </row>
    <row r="85" spans="1:12" s="4" customFormat="1" ht="27" customHeight="1" x14ac:dyDescent="0.4">
      <c r="A85" s="62" t="s">
        <v>51</v>
      </c>
      <c r="B85" s="69">
        <v>1</v>
      </c>
      <c r="C85" s="492" t="s">
        <v>109</v>
      </c>
      <c r="D85" s="493"/>
      <c r="E85" s="493"/>
      <c r="F85" s="493"/>
      <c r="G85" s="493"/>
      <c r="H85" s="494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53</v>
      </c>
      <c r="B87" s="74">
        <f>B84/B85</f>
        <v>1</v>
      </c>
      <c r="C87" s="52" t="s">
        <v>54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55</v>
      </c>
      <c r="B89" s="76">
        <v>25</v>
      </c>
      <c r="D89" s="154" t="s">
        <v>56</v>
      </c>
      <c r="E89" s="155"/>
      <c r="F89" s="495" t="s">
        <v>57</v>
      </c>
      <c r="G89" s="497"/>
    </row>
    <row r="90" spans="1:12" ht="27" customHeight="1" x14ac:dyDescent="0.4">
      <c r="A90" s="77" t="s">
        <v>58</v>
      </c>
      <c r="B90" s="78">
        <v>4</v>
      </c>
      <c r="C90" s="156" t="s">
        <v>59</v>
      </c>
      <c r="D90" s="80" t="s">
        <v>60</v>
      </c>
      <c r="E90" s="81" t="s">
        <v>61</v>
      </c>
      <c r="F90" s="80" t="s">
        <v>60</v>
      </c>
      <c r="G90" s="157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58">
        <v>1</v>
      </c>
      <c r="D91" s="272">
        <v>173232</v>
      </c>
      <c r="E91" s="85">
        <f>IF(ISBLANK(D91),"-",$D$101/$D$98*D91)</f>
        <v>194029.56864257171</v>
      </c>
      <c r="F91" s="272">
        <v>178721</v>
      </c>
      <c r="G91" s="86">
        <f>IF(ISBLANK(F91),"-",$D$101/$F$98*F91)</f>
        <v>195077.49175868518</v>
      </c>
      <c r="I91" s="87"/>
    </row>
    <row r="92" spans="1:12" ht="26.25" customHeight="1" x14ac:dyDescent="0.4">
      <c r="A92" s="77" t="s">
        <v>64</v>
      </c>
      <c r="B92" s="78">
        <v>1</v>
      </c>
      <c r="C92" s="143">
        <v>2</v>
      </c>
      <c r="D92" s="277">
        <v>172867</v>
      </c>
      <c r="E92" s="90">
        <f>IF(ISBLANK(D92),"-",$D$101/$D$98*D92)</f>
        <v>193620.74814431192</v>
      </c>
      <c r="F92" s="277">
        <v>177684</v>
      </c>
      <c r="G92" s="91">
        <f>IF(ISBLANK(F92),"-",$D$101/$F$98*F92)</f>
        <v>193945.58583294754</v>
      </c>
      <c r="I92" s="499">
        <f>ABS((F96/D96*D95)-F95)/D95</f>
        <v>2.901013821513651E-3</v>
      </c>
    </row>
    <row r="93" spans="1:12" ht="26.25" customHeight="1" x14ac:dyDescent="0.4">
      <c r="A93" s="77" t="s">
        <v>65</v>
      </c>
      <c r="B93" s="78">
        <v>1</v>
      </c>
      <c r="C93" s="143">
        <v>3</v>
      </c>
      <c r="D93" s="277">
        <v>173512</v>
      </c>
      <c r="E93" s="90">
        <f>IF(ISBLANK(D93),"-",$D$101/$D$98*D93)</f>
        <v>194343.18436726413</v>
      </c>
      <c r="F93" s="277">
        <v>178298</v>
      </c>
      <c r="G93" s="91">
        <f>IF(ISBLANK(F93),"-",$D$101/$F$98*F93)</f>
        <v>194615.77892687512</v>
      </c>
      <c r="I93" s="499"/>
    </row>
    <row r="94" spans="1:12" ht="27" customHeight="1" x14ac:dyDescent="0.4">
      <c r="A94" s="77" t="s">
        <v>66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7" t="s">
        <v>67</v>
      </c>
      <c r="B95" s="78">
        <v>1</v>
      </c>
      <c r="C95" s="161" t="s">
        <v>68</v>
      </c>
      <c r="D95" s="162">
        <f>AVERAGE(D91:D94)</f>
        <v>173203.66666666666</v>
      </c>
      <c r="E95" s="100">
        <f>AVERAGE(E91:E94)</f>
        <v>193997.83371804925</v>
      </c>
      <c r="F95" s="163">
        <f>AVERAGE(F91:F94)</f>
        <v>178234.33333333334</v>
      </c>
      <c r="G95" s="164">
        <f>AVERAGE(G91:G94)</f>
        <v>194546.28550616928</v>
      </c>
    </row>
    <row r="96" spans="1:12" ht="26.25" customHeight="1" x14ac:dyDescent="0.4">
      <c r="A96" s="77" t="s">
        <v>69</v>
      </c>
      <c r="B96" s="63">
        <v>1</v>
      </c>
      <c r="C96" s="165" t="s">
        <v>110</v>
      </c>
      <c r="D96" s="166">
        <v>19.89</v>
      </c>
      <c r="E96" s="92"/>
      <c r="F96" s="104">
        <v>20.41</v>
      </c>
    </row>
    <row r="97" spans="1:10" ht="26.25" customHeight="1" x14ac:dyDescent="0.4">
      <c r="A97" s="77" t="s">
        <v>71</v>
      </c>
      <c r="B97" s="63">
        <v>1</v>
      </c>
      <c r="C97" s="167" t="s">
        <v>111</v>
      </c>
      <c r="D97" s="168">
        <f>D96*$B$87</f>
        <v>19.89</v>
      </c>
      <c r="E97" s="107"/>
      <c r="F97" s="106">
        <f>F96*$B$87</f>
        <v>20.41</v>
      </c>
    </row>
    <row r="98" spans="1:10" ht="19.5" customHeight="1" x14ac:dyDescent="0.3">
      <c r="A98" s="77" t="s">
        <v>73</v>
      </c>
      <c r="B98" s="169">
        <f>(B97/B96)*(B95/B94)*(B93/B92)*(B91/B90)*B89</f>
        <v>625</v>
      </c>
      <c r="C98" s="167" t="s">
        <v>112</v>
      </c>
      <c r="D98" s="170">
        <f>D97*$B$83/100</f>
        <v>19.840275000000002</v>
      </c>
      <c r="E98" s="110"/>
      <c r="F98" s="109">
        <f>F97*$B$83/100</f>
        <v>20.358975000000001</v>
      </c>
    </row>
    <row r="99" spans="1:10" ht="19.5" customHeight="1" x14ac:dyDescent="0.3">
      <c r="A99" s="500" t="s">
        <v>75</v>
      </c>
      <c r="B99" s="514"/>
      <c r="C99" s="167" t="s">
        <v>113</v>
      </c>
      <c r="D99" s="171">
        <f>D98/$B$98</f>
        <v>3.1744440000000006E-2</v>
      </c>
      <c r="E99" s="110"/>
      <c r="F99" s="113">
        <f>F98/$B$98</f>
        <v>3.2574360000000004E-2</v>
      </c>
      <c r="G99" s="172"/>
      <c r="H99" s="102"/>
    </row>
    <row r="100" spans="1:10" ht="19.5" customHeight="1" x14ac:dyDescent="0.3">
      <c r="A100" s="502"/>
      <c r="B100" s="515"/>
      <c r="C100" s="167" t="s">
        <v>77</v>
      </c>
      <c r="D100" s="173">
        <f>$B$56/$B$116</f>
        <v>3.5555555555555556E-2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194272.0596121093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2.6860622342618477E-3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5" t="s">
        <v>115</v>
      </c>
      <c r="B107" s="76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7" t="s">
        <v>119</v>
      </c>
      <c r="B108" s="78">
        <v>4</v>
      </c>
      <c r="C108" s="227">
        <v>1</v>
      </c>
      <c r="D108" s="228">
        <v>204045</v>
      </c>
      <c r="E108" s="202">
        <f t="shared" ref="E108:E113" si="1">IF(ISBLANK(D108),"-",D108/$D$103*$D$100*$B$116)</f>
        <v>168.04886953473698</v>
      </c>
      <c r="F108" s="229">
        <f t="shared" ref="F108:F113" si="2">IF(ISBLANK(D108), "-", (E108/$B$56)*100)</f>
        <v>105.03054345921061</v>
      </c>
    </row>
    <row r="109" spans="1:10" ht="26.25" customHeight="1" x14ac:dyDescent="0.4">
      <c r="A109" s="77" t="s">
        <v>92</v>
      </c>
      <c r="B109" s="78">
        <v>20</v>
      </c>
      <c r="C109" s="223">
        <v>2</v>
      </c>
      <c r="D109" s="225">
        <v>203763</v>
      </c>
      <c r="E109" s="203">
        <f t="shared" si="1"/>
        <v>167.81661791764861</v>
      </c>
      <c r="F109" s="230">
        <f t="shared" si="2"/>
        <v>104.88538619853038</v>
      </c>
    </row>
    <row r="110" spans="1:10" ht="26.25" customHeight="1" x14ac:dyDescent="0.4">
      <c r="A110" s="77" t="s">
        <v>93</v>
      </c>
      <c r="B110" s="78">
        <v>1</v>
      </c>
      <c r="C110" s="223">
        <v>3</v>
      </c>
      <c r="D110" s="225">
        <v>203895</v>
      </c>
      <c r="E110" s="203">
        <f t="shared" si="1"/>
        <v>167.92533144054104</v>
      </c>
      <c r="F110" s="230">
        <f t="shared" si="2"/>
        <v>104.95333215033816</v>
      </c>
    </row>
    <row r="111" spans="1:10" ht="26.25" customHeight="1" x14ac:dyDescent="0.4">
      <c r="A111" s="77" t="s">
        <v>94</v>
      </c>
      <c r="B111" s="78">
        <v>1</v>
      </c>
      <c r="C111" s="223">
        <v>4</v>
      </c>
      <c r="D111" s="225">
        <v>204341</v>
      </c>
      <c r="E111" s="203">
        <f t="shared" si="1"/>
        <v>168.29265137395029</v>
      </c>
      <c r="F111" s="230">
        <f t="shared" si="2"/>
        <v>105.18290710871894</v>
      </c>
    </row>
    <row r="112" spans="1:10" ht="26.25" customHeight="1" x14ac:dyDescent="0.4">
      <c r="A112" s="77" t="s">
        <v>95</v>
      </c>
      <c r="B112" s="78">
        <v>1</v>
      </c>
      <c r="C112" s="223">
        <v>5</v>
      </c>
      <c r="D112" s="225">
        <v>204768</v>
      </c>
      <c r="E112" s="203">
        <f t="shared" si="1"/>
        <v>168.6443231487614</v>
      </c>
      <c r="F112" s="230">
        <f t="shared" si="2"/>
        <v>105.40270196797587</v>
      </c>
    </row>
    <row r="113" spans="1:10" ht="27" customHeight="1" x14ac:dyDescent="0.4">
      <c r="A113" s="77" t="s">
        <v>97</v>
      </c>
      <c r="B113" s="78">
        <v>1</v>
      </c>
      <c r="C113" s="224">
        <v>6</v>
      </c>
      <c r="D113" s="226">
        <v>204195</v>
      </c>
      <c r="E113" s="204">
        <f t="shared" si="1"/>
        <v>168.17240762893292</v>
      </c>
      <c r="F113" s="231">
        <f t="shared" si="2"/>
        <v>105.10775476808307</v>
      </c>
    </row>
    <row r="114" spans="1:10" ht="27" customHeight="1" x14ac:dyDescent="0.4">
      <c r="A114" s="77" t="s">
        <v>98</v>
      </c>
      <c r="B114" s="78">
        <v>1</v>
      </c>
      <c r="C114" s="185"/>
      <c r="D114" s="143"/>
      <c r="E114" s="51"/>
      <c r="F114" s="232"/>
    </row>
    <row r="115" spans="1:10" ht="26.25" customHeight="1" x14ac:dyDescent="0.4">
      <c r="A115" s="77" t="s">
        <v>99</v>
      </c>
      <c r="B115" s="78">
        <v>1</v>
      </c>
      <c r="C115" s="185"/>
      <c r="D115" s="209" t="s">
        <v>68</v>
      </c>
      <c r="E115" s="211">
        <f>AVERAGE(E108:E113)</f>
        <v>168.15003350742853</v>
      </c>
      <c r="F115" s="233">
        <f>AVERAGE(F108:F113)</f>
        <v>105.09377094214284</v>
      </c>
    </row>
    <row r="116" spans="1:10" ht="27" customHeight="1" x14ac:dyDescent="0.4">
      <c r="A116" s="77" t="s">
        <v>100</v>
      </c>
      <c r="B116" s="108">
        <f>(B115/B114)*(B113/B112)*(B111/B110)*(B109/B108)*B107</f>
        <v>4500</v>
      </c>
      <c r="C116" s="186"/>
      <c r="D116" s="210" t="s">
        <v>81</v>
      </c>
      <c r="E116" s="208">
        <f>STDEV(E108:E113)/E115</f>
        <v>1.7582697527363808E-3</v>
      </c>
      <c r="F116" s="187">
        <f>STDEV(F108:F113)/F115</f>
        <v>1.7582697527363717E-3</v>
      </c>
      <c r="I116" s="51"/>
    </row>
    <row r="117" spans="1:10" ht="27" customHeight="1" x14ac:dyDescent="0.4">
      <c r="A117" s="500" t="s">
        <v>75</v>
      </c>
      <c r="B117" s="50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1"/>
      <c r="J117" s="181"/>
    </row>
    <row r="118" spans="1:10" ht="26.25" customHeight="1" x14ac:dyDescent="0.3">
      <c r="A118" s="502"/>
      <c r="B118" s="503"/>
      <c r="C118" s="51"/>
      <c r="D118" s="212"/>
      <c r="E118" s="480" t="s">
        <v>120</v>
      </c>
      <c r="F118" s="481"/>
      <c r="G118" s="51"/>
      <c r="H118" s="51"/>
      <c r="I118" s="51"/>
    </row>
    <row r="119" spans="1:10" ht="25.5" customHeight="1" x14ac:dyDescent="0.4">
      <c r="A119" s="197"/>
      <c r="B119" s="73"/>
      <c r="C119" s="51"/>
      <c r="D119" s="210" t="s">
        <v>121</v>
      </c>
      <c r="E119" s="215">
        <f>MIN(E108:E113)</f>
        <v>167.81661791764861</v>
      </c>
      <c r="F119" s="234">
        <f>MIN(F108:F113)</f>
        <v>104.88538619853038</v>
      </c>
      <c r="G119" s="51"/>
      <c r="H119" s="51"/>
      <c r="I119" s="51"/>
    </row>
    <row r="120" spans="1:10" ht="24" customHeight="1" x14ac:dyDescent="0.4">
      <c r="A120" s="197"/>
      <c r="B120" s="73"/>
      <c r="C120" s="51"/>
      <c r="D120" s="119" t="s">
        <v>122</v>
      </c>
      <c r="E120" s="216">
        <f>MAX(E108:E113)</f>
        <v>168.6443231487614</v>
      </c>
      <c r="F120" s="235">
        <f>MAX(F108:F113)</f>
        <v>105.40270196797587</v>
      </c>
      <c r="G120" s="51"/>
      <c r="H120" s="51"/>
      <c r="I120" s="51"/>
    </row>
    <row r="121" spans="1:10" ht="27" customHeight="1" x14ac:dyDescent="0.3">
      <c r="A121" s="197"/>
      <c r="B121" s="73"/>
      <c r="C121" s="51"/>
      <c r="D121" s="51"/>
      <c r="E121" s="51"/>
      <c r="F121" s="143"/>
      <c r="G121" s="51"/>
      <c r="H121" s="51"/>
      <c r="I121" s="51"/>
    </row>
    <row r="122" spans="1:10" ht="25.5" customHeight="1" x14ac:dyDescent="0.3">
      <c r="A122" s="197"/>
      <c r="B122" s="73"/>
      <c r="C122" s="51"/>
      <c r="D122" s="51"/>
      <c r="E122" s="51"/>
      <c r="F122" s="143"/>
      <c r="G122" s="51"/>
      <c r="H122" s="51"/>
      <c r="I122" s="51"/>
    </row>
    <row r="123" spans="1:10" ht="18.75" x14ac:dyDescent="0.3">
      <c r="A123" s="197"/>
      <c r="B123" s="73"/>
      <c r="C123" s="51"/>
      <c r="D123" s="51"/>
      <c r="E123" s="51"/>
      <c r="F123" s="143"/>
      <c r="G123" s="51"/>
      <c r="H123" s="51"/>
      <c r="I123" s="51"/>
    </row>
    <row r="124" spans="1:10" ht="45.75" customHeight="1" x14ac:dyDescent="0.65">
      <c r="A124" s="61" t="s">
        <v>103</v>
      </c>
      <c r="B124" s="149" t="s">
        <v>123</v>
      </c>
      <c r="C124" s="512" t="str">
        <f>B26</f>
        <v>Trimethoprim</v>
      </c>
      <c r="D124" s="512"/>
      <c r="E124" s="150" t="s">
        <v>124</v>
      </c>
      <c r="F124" s="150"/>
      <c r="G124" s="236">
        <f>F115</f>
        <v>105.09377094214284</v>
      </c>
      <c r="H124" s="51"/>
      <c r="I124" s="51"/>
    </row>
    <row r="125" spans="1:10" ht="45.75" customHeight="1" x14ac:dyDescent="0.65">
      <c r="A125" s="61"/>
      <c r="B125" s="149" t="s">
        <v>125</v>
      </c>
      <c r="C125" s="62" t="s">
        <v>126</v>
      </c>
      <c r="D125" s="236">
        <f>MIN(F108:F113)</f>
        <v>104.88538619853038</v>
      </c>
      <c r="E125" s="161" t="s">
        <v>127</v>
      </c>
      <c r="F125" s="236">
        <f>MAX(F108:F113)</f>
        <v>105.40270196797587</v>
      </c>
      <c r="G125" s="151"/>
      <c r="H125" s="51"/>
      <c r="I125" s="51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3" t="s">
        <v>23</v>
      </c>
      <c r="C127" s="513"/>
      <c r="E127" s="156" t="s">
        <v>24</v>
      </c>
      <c r="F127" s="191"/>
      <c r="G127" s="513" t="s">
        <v>25</v>
      </c>
      <c r="H127" s="513"/>
    </row>
    <row r="128" spans="1:10" ht="69.95" customHeight="1" x14ac:dyDescent="0.3">
      <c r="A128" s="192" t="s">
        <v>26</v>
      </c>
      <c r="B128" s="193"/>
      <c r="C128" s="193"/>
      <c r="E128" s="193"/>
      <c r="F128" s="51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1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1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1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1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1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1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1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1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1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1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1" zoomScale="5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42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43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8"/>
    </row>
    <row r="16" spans="1:9" ht="19.5" customHeight="1" x14ac:dyDescent="0.3">
      <c r="A16" s="483" t="s">
        <v>28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44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240" t="s">
        <v>30</v>
      </c>
      <c r="B18" s="487" t="s">
        <v>5</v>
      </c>
      <c r="C18" s="487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482" t="s">
        <v>128</v>
      </c>
      <c r="C20" s="482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482" t="s">
        <v>11</v>
      </c>
      <c r="C21" s="482"/>
      <c r="D21" s="482"/>
      <c r="E21" s="482"/>
      <c r="F21" s="482"/>
      <c r="G21" s="482"/>
      <c r="H21" s="482"/>
      <c r="I21" s="244"/>
    </row>
    <row r="22" spans="1:14" ht="26.25" customHeight="1" x14ac:dyDescent="0.4">
      <c r="A22" s="240" t="s">
        <v>34</v>
      </c>
      <c r="B22" s="245">
        <v>43322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>
        <v>43325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2" t="s">
        <v>128</v>
      </c>
      <c r="C26" s="482"/>
    </row>
    <row r="27" spans="1:14" ht="26.25" customHeight="1" x14ac:dyDescent="0.4">
      <c r="A27" s="249" t="s">
        <v>45</v>
      </c>
      <c r="B27" s="488" t="s">
        <v>129</v>
      </c>
      <c r="C27" s="488"/>
    </row>
    <row r="28" spans="1:14" ht="27" customHeight="1" x14ac:dyDescent="0.4">
      <c r="A28" s="249" t="s">
        <v>6</v>
      </c>
      <c r="B28" s="250">
        <v>99.02</v>
      </c>
    </row>
    <row r="29" spans="1:14" s="4" customFormat="1" ht="27" customHeight="1" x14ac:dyDescent="0.4">
      <c r="A29" s="249" t="s">
        <v>46</v>
      </c>
      <c r="B29" s="251">
        <v>0</v>
      </c>
      <c r="C29" s="489" t="s">
        <v>47</v>
      </c>
      <c r="D29" s="490"/>
      <c r="E29" s="490"/>
      <c r="F29" s="490"/>
      <c r="G29" s="491"/>
      <c r="I29" s="252"/>
      <c r="J29" s="252"/>
      <c r="K29" s="252"/>
      <c r="L29" s="252"/>
    </row>
    <row r="30" spans="1:14" s="4" customFormat="1" ht="19.5" customHeight="1" x14ac:dyDescent="0.3">
      <c r="A30" s="249" t="s">
        <v>48</v>
      </c>
      <c r="B30" s="253">
        <f>B28-B29</f>
        <v>99.02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4" customFormat="1" ht="27" customHeight="1" x14ac:dyDescent="0.4">
      <c r="A31" s="249" t="s">
        <v>49</v>
      </c>
      <c r="B31" s="256">
        <v>1</v>
      </c>
      <c r="C31" s="492" t="s">
        <v>50</v>
      </c>
      <c r="D31" s="493"/>
      <c r="E31" s="493"/>
      <c r="F31" s="493"/>
      <c r="G31" s="493"/>
      <c r="H31" s="494"/>
      <c r="I31" s="252"/>
      <c r="J31" s="252"/>
      <c r="K31" s="252"/>
      <c r="L31" s="252"/>
    </row>
    <row r="32" spans="1:14" s="4" customFormat="1" ht="27" customHeight="1" x14ac:dyDescent="0.4">
      <c r="A32" s="249" t="s">
        <v>51</v>
      </c>
      <c r="B32" s="256">
        <v>1</v>
      </c>
      <c r="C32" s="492" t="s">
        <v>52</v>
      </c>
      <c r="D32" s="493"/>
      <c r="E32" s="493"/>
      <c r="F32" s="493"/>
      <c r="G32" s="493"/>
      <c r="H32" s="494"/>
      <c r="I32" s="252"/>
      <c r="J32" s="252"/>
      <c r="K32" s="252"/>
      <c r="L32" s="257"/>
      <c r="M32" s="257"/>
      <c r="N32" s="258"/>
    </row>
    <row r="33" spans="1:14" s="4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4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4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4" customFormat="1" ht="27" customHeight="1" x14ac:dyDescent="0.4">
      <c r="A36" s="262" t="s">
        <v>55</v>
      </c>
      <c r="B36" s="263">
        <v>100</v>
      </c>
      <c r="C36" s="239"/>
      <c r="D36" s="495" t="s">
        <v>56</v>
      </c>
      <c r="E36" s="496"/>
      <c r="F36" s="495" t="s">
        <v>57</v>
      </c>
      <c r="G36" s="497"/>
      <c r="J36" s="252"/>
      <c r="K36" s="252"/>
      <c r="L36" s="257"/>
      <c r="M36" s="257"/>
      <c r="N36" s="258"/>
    </row>
    <row r="37" spans="1:14" s="4" customFormat="1" ht="27" customHeight="1" x14ac:dyDescent="0.4">
      <c r="A37" s="264" t="s">
        <v>58</v>
      </c>
      <c r="B37" s="265">
        <v>1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4" customFormat="1" ht="26.25" customHeight="1" x14ac:dyDescent="0.4">
      <c r="A38" s="264" t="s">
        <v>63</v>
      </c>
      <c r="B38" s="265">
        <v>1</v>
      </c>
      <c r="C38" s="271">
        <v>1</v>
      </c>
      <c r="D38" s="272">
        <v>2556393</v>
      </c>
      <c r="E38" s="273">
        <f>IF(ISBLANK(D38),"-",$D$48/$D$45*D38)</f>
        <v>2467568.551735322</v>
      </c>
      <c r="F38" s="272">
        <v>2242997</v>
      </c>
      <c r="G38" s="274">
        <f>IF(ISBLANK(F38),"-",$D$48/$F$45*F38)</f>
        <v>2417820.8619251857</v>
      </c>
      <c r="I38" s="275"/>
      <c r="J38" s="252"/>
      <c r="K38" s="252"/>
      <c r="L38" s="257"/>
      <c r="M38" s="257"/>
      <c r="N38" s="258"/>
    </row>
    <row r="39" spans="1:14" s="4" customFormat="1" ht="26.25" customHeight="1" x14ac:dyDescent="0.4">
      <c r="A39" s="264" t="s">
        <v>64</v>
      </c>
      <c r="B39" s="265">
        <v>1</v>
      </c>
      <c r="C39" s="276">
        <v>2</v>
      </c>
      <c r="D39" s="277">
        <v>2554432</v>
      </c>
      <c r="E39" s="278">
        <f>IF(ISBLANK(D39),"-",$D$48/$D$45*D39)</f>
        <v>2465675.6886544293</v>
      </c>
      <c r="F39" s="277">
        <v>2236790</v>
      </c>
      <c r="G39" s="279">
        <f>IF(ISBLANK(F39),"-",$D$48/$F$45*F39)</f>
        <v>2411130.0754060913</v>
      </c>
      <c r="I39" s="499">
        <f>ABS((F43/D43*D42)-F42)/D42</f>
        <v>1.9529168429018688E-2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2560604</v>
      </c>
      <c r="E40" s="278">
        <f>IF(ISBLANK(D40),"-",$D$48/$D$45*D40)</f>
        <v>2471633.2363011762</v>
      </c>
      <c r="F40" s="277">
        <v>2239854</v>
      </c>
      <c r="G40" s="279">
        <f>IF(ISBLANK(F40),"-",$D$48/$F$45*F40)</f>
        <v>2414432.8899532971</v>
      </c>
      <c r="I40" s="499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2557143</v>
      </c>
      <c r="E42" s="288">
        <f>AVERAGE(E38:E41)</f>
        <v>2468292.4922303092</v>
      </c>
      <c r="F42" s="287">
        <f>AVERAGE(F38:F41)</f>
        <v>2239880.3333333335</v>
      </c>
      <c r="G42" s="289">
        <f>AVERAGE(G38:G41)</f>
        <v>2414461.2757615247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16.739999999999998</v>
      </c>
      <c r="E43" s="280"/>
      <c r="F43" s="292">
        <v>14.99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16.739999999999998</v>
      </c>
      <c r="E44" s="295"/>
      <c r="F44" s="294">
        <f>F43*$B$34</f>
        <v>14.99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100</v>
      </c>
      <c r="C45" s="293" t="s">
        <v>74</v>
      </c>
      <c r="D45" s="297">
        <f>D44*$B$30/100</f>
        <v>16.575947999999997</v>
      </c>
      <c r="E45" s="298"/>
      <c r="F45" s="297">
        <f>F44*$B$30/100</f>
        <v>14.843097999999999</v>
      </c>
      <c r="H45" s="290"/>
    </row>
    <row r="46" spans="1:14" ht="19.5" customHeight="1" x14ac:dyDescent="0.3">
      <c r="A46" s="500" t="s">
        <v>75</v>
      </c>
      <c r="B46" s="501"/>
      <c r="C46" s="293" t="s">
        <v>76</v>
      </c>
      <c r="D46" s="299">
        <f>D45/$B$45</f>
        <v>0.16575947999999996</v>
      </c>
      <c r="E46" s="300"/>
      <c r="F46" s="301">
        <f>F45/$B$45</f>
        <v>0.14843097999999999</v>
      </c>
      <c r="H46" s="290"/>
    </row>
    <row r="47" spans="1:14" ht="27" customHeight="1" x14ac:dyDescent="0.4">
      <c r="A47" s="502"/>
      <c r="B47" s="503"/>
      <c r="C47" s="302" t="s">
        <v>77</v>
      </c>
      <c r="D47" s="303">
        <v>0.16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16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16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2441376.8839959172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1.2133735040853903E-2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tablet contains: Sulphamethoxazole B.P 800 mg and Trimethoprim B.P 160 mg.</v>
      </c>
    </row>
    <row r="56" spans="1:12" ht="26.25" customHeight="1" x14ac:dyDescent="0.4">
      <c r="A56" s="317" t="s">
        <v>84</v>
      </c>
      <c r="B56" s="318">
        <v>800</v>
      </c>
      <c r="C56" s="239" t="str">
        <f>B20</f>
        <v>Sulfamethoxazole</v>
      </c>
      <c r="H56" s="319"/>
    </row>
    <row r="57" spans="1:12" ht="18.75" x14ac:dyDescent="0.3">
      <c r="A57" s="316" t="s">
        <v>85</v>
      </c>
      <c r="B57" s="387">
        <f>Uniformity!C46</f>
        <v>1049.8510000000001</v>
      </c>
      <c r="H57" s="319"/>
    </row>
    <row r="58" spans="1:12" ht="19.5" customHeight="1" x14ac:dyDescent="0.3">
      <c r="H58" s="319"/>
    </row>
    <row r="59" spans="1:12" s="4" customFormat="1" ht="27" customHeight="1" x14ac:dyDescent="0.4">
      <c r="A59" s="262" t="s">
        <v>86</v>
      </c>
      <c r="B59" s="263">
        <v>100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4" customFormat="1" ht="26.25" customHeight="1" x14ac:dyDescent="0.4">
      <c r="A60" s="264" t="s">
        <v>90</v>
      </c>
      <c r="B60" s="265">
        <v>5</v>
      </c>
      <c r="C60" s="504" t="s">
        <v>91</v>
      </c>
      <c r="D60" s="507">
        <v>216.16</v>
      </c>
      <c r="E60" s="322">
        <v>1</v>
      </c>
      <c r="F60" s="323">
        <v>2576953</v>
      </c>
      <c r="G60" s="388">
        <f>IF(ISBLANK(F60),"-",(F60/$D$50*$D$47*$B$68)*($B$57/$D$60))</f>
        <v>820.24574609125875</v>
      </c>
      <c r="H60" s="406">
        <f t="shared" ref="H60:H71" si="0">IF(ISBLANK(F60),"-",(G60/$B$56)*100)</f>
        <v>102.53071826140734</v>
      </c>
      <c r="L60" s="252"/>
    </row>
    <row r="61" spans="1:12" s="4" customFormat="1" ht="26.25" customHeight="1" x14ac:dyDescent="0.4">
      <c r="A61" s="264" t="s">
        <v>92</v>
      </c>
      <c r="B61" s="265">
        <v>50</v>
      </c>
      <c r="C61" s="505"/>
      <c r="D61" s="508"/>
      <c r="E61" s="324">
        <v>2</v>
      </c>
      <c r="F61" s="277">
        <v>2574912</v>
      </c>
      <c r="G61" s="389">
        <f>IF(ISBLANK(F61),"-",(F61/$D$50*$D$47*$B$68)*($B$57/$D$60))</f>
        <v>819.59609451912206</v>
      </c>
      <c r="H61" s="407">
        <f t="shared" si="0"/>
        <v>102.44951181489026</v>
      </c>
      <c r="L61" s="252"/>
    </row>
    <row r="62" spans="1:12" s="4" customFormat="1" ht="26.25" customHeight="1" x14ac:dyDescent="0.4">
      <c r="A62" s="264" t="s">
        <v>93</v>
      </c>
      <c r="B62" s="265">
        <v>1</v>
      </c>
      <c r="C62" s="505"/>
      <c r="D62" s="508"/>
      <c r="E62" s="324">
        <v>3</v>
      </c>
      <c r="F62" s="325">
        <v>2579552</v>
      </c>
      <c r="G62" s="389">
        <f>IF(ISBLANK(F62),"-",(F62/$D$50*$D$47*$B$68)*($B$57/$D$60))</f>
        <v>821.07300941119161</v>
      </c>
      <c r="H62" s="407">
        <f t="shared" si="0"/>
        <v>102.63412617639895</v>
      </c>
      <c r="L62" s="252"/>
    </row>
    <row r="63" spans="1:12" ht="27" customHeight="1" x14ac:dyDescent="0.4">
      <c r="A63" s="264" t="s">
        <v>94</v>
      </c>
      <c r="B63" s="265">
        <v>1</v>
      </c>
      <c r="C63" s="506"/>
      <c r="D63" s="50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504" t="s">
        <v>96</v>
      </c>
      <c r="D64" s="507">
        <v>208.1</v>
      </c>
      <c r="E64" s="322">
        <v>1</v>
      </c>
      <c r="F64" s="323">
        <v>2474347</v>
      </c>
      <c r="G64" s="388">
        <f>IF(ISBLANK(F64),"-",(F64/$D$50*$D$47*$B$68)*($B$57/$D$64))</f>
        <v>818.09049176239944</v>
      </c>
      <c r="H64" s="406">
        <f t="shared" si="0"/>
        <v>102.26131147029993</v>
      </c>
    </row>
    <row r="65" spans="1:8" ht="26.25" customHeight="1" x14ac:dyDescent="0.4">
      <c r="A65" s="264" t="s">
        <v>97</v>
      </c>
      <c r="B65" s="265">
        <v>1</v>
      </c>
      <c r="C65" s="505"/>
      <c r="D65" s="508"/>
      <c r="E65" s="324">
        <v>2</v>
      </c>
      <c r="F65" s="277">
        <v>2476533</v>
      </c>
      <c r="G65" s="389">
        <f>IF(ISBLANK(F65),"-",(F65/$D$50*$D$47*$B$68)*($B$57/$D$64))</f>
        <v>818.81324641847357</v>
      </c>
      <c r="H65" s="407">
        <f t="shared" si="0"/>
        <v>102.35165580230921</v>
      </c>
    </row>
    <row r="66" spans="1:8" ht="26.25" customHeight="1" x14ac:dyDescent="0.4">
      <c r="A66" s="264" t="s">
        <v>98</v>
      </c>
      <c r="B66" s="265">
        <v>1</v>
      </c>
      <c r="C66" s="505"/>
      <c r="D66" s="508"/>
      <c r="E66" s="324">
        <v>3</v>
      </c>
      <c r="F66" s="277">
        <v>2476096</v>
      </c>
      <c r="G66" s="389">
        <f>IF(ISBLANK(F66),"-",(F66/$D$50*$D$47*$B$68)*($B$57/$D$64))</f>
        <v>818.66876161302775</v>
      </c>
      <c r="H66" s="407">
        <f t="shared" si="0"/>
        <v>102.33359520162848</v>
      </c>
    </row>
    <row r="67" spans="1:8" ht="27" customHeight="1" x14ac:dyDescent="0.4">
      <c r="A67" s="264" t="s">
        <v>99</v>
      </c>
      <c r="B67" s="265">
        <v>1</v>
      </c>
      <c r="C67" s="506"/>
      <c r="D67" s="50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1000</v>
      </c>
      <c r="C68" s="504" t="s">
        <v>101</v>
      </c>
      <c r="D68" s="507">
        <v>209.85</v>
      </c>
      <c r="E68" s="322">
        <v>1</v>
      </c>
      <c r="F68" s="323">
        <v>2500682</v>
      </c>
      <c r="G68" s="388">
        <f>IF(ISBLANK(F68),"-",(F68/$D$50*$D$47*$B$68)*($B$57/$D$68))</f>
        <v>819.90269745420278</v>
      </c>
      <c r="H68" s="407">
        <f t="shared" si="0"/>
        <v>102.48783718177535</v>
      </c>
    </row>
    <row r="69" spans="1:8" ht="27" customHeight="1" x14ac:dyDescent="0.4">
      <c r="A69" s="312" t="s">
        <v>102</v>
      </c>
      <c r="B69" s="329">
        <f>(D47*B68)/B56*B57</f>
        <v>209.97020000000003</v>
      </c>
      <c r="C69" s="505"/>
      <c r="D69" s="508"/>
      <c r="E69" s="324">
        <v>2</v>
      </c>
      <c r="F69" s="277">
        <v>2502040</v>
      </c>
      <c r="G69" s="389">
        <f>IF(ISBLANK(F69),"-",(F69/$D$50*$D$47*$B$68)*($B$57/$D$68))</f>
        <v>820.347947135347</v>
      </c>
      <c r="H69" s="407">
        <f t="shared" si="0"/>
        <v>102.54349339191837</v>
      </c>
    </row>
    <row r="70" spans="1:8" ht="26.25" customHeight="1" x14ac:dyDescent="0.4">
      <c r="A70" s="517" t="s">
        <v>75</v>
      </c>
      <c r="B70" s="518"/>
      <c r="C70" s="505"/>
      <c r="D70" s="508"/>
      <c r="E70" s="324">
        <v>3</v>
      </c>
      <c r="F70" s="277">
        <v>2505182</v>
      </c>
      <c r="G70" s="389">
        <f>IF(ISBLANK(F70),"-",(F70/$D$50*$D$47*$B$68)*($B$57/$D$68))</f>
        <v>821.37811981440041</v>
      </c>
      <c r="H70" s="407">
        <f t="shared" si="0"/>
        <v>102.67226497680004</v>
      </c>
    </row>
    <row r="71" spans="1:8" ht="27" customHeight="1" x14ac:dyDescent="0.4">
      <c r="A71" s="519"/>
      <c r="B71" s="520"/>
      <c r="C71" s="516"/>
      <c r="D71" s="50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819.79067935771366</v>
      </c>
      <c r="H72" s="409">
        <f>AVERAGE(H60:H71)</f>
        <v>102.47383491971421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1.3526500419839302E-3</v>
      </c>
      <c r="H73" s="393">
        <f>STDEV(H60:H71)/H72</f>
        <v>1.3526500419838725E-3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103</v>
      </c>
      <c r="B76" s="337" t="s">
        <v>104</v>
      </c>
      <c r="C76" s="512" t="str">
        <f>B26</f>
        <v>Sulfamethoxazole</v>
      </c>
      <c r="D76" s="512"/>
      <c r="E76" s="338" t="s">
        <v>105</v>
      </c>
      <c r="F76" s="338"/>
      <c r="G76" s="425">
        <f>H72</f>
        <v>102.47383491971421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8" t="str">
        <f>B26</f>
        <v>Sulfamethoxazole</v>
      </c>
      <c r="C79" s="498"/>
    </row>
    <row r="80" spans="1:8" ht="26.25" customHeight="1" x14ac:dyDescent="0.4">
      <c r="A80" s="249" t="s">
        <v>45</v>
      </c>
      <c r="B80" s="498" t="str">
        <f>B27</f>
        <v>S12-6</v>
      </c>
      <c r="C80" s="498"/>
    </row>
    <row r="81" spans="1:12" ht="27" customHeight="1" x14ac:dyDescent="0.4">
      <c r="A81" s="249" t="s">
        <v>6</v>
      </c>
      <c r="B81" s="341">
        <f>B28</f>
        <v>99.02</v>
      </c>
    </row>
    <row r="82" spans="1:12" s="4" customFormat="1" ht="27" customHeight="1" x14ac:dyDescent="0.4">
      <c r="A82" s="249" t="s">
        <v>46</v>
      </c>
      <c r="B82" s="251">
        <v>0</v>
      </c>
      <c r="C82" s="489" t="s">
        <v>47</v>
      </c>
      <c r="D82" s="490"/>
      <c r="E82" s="490"/>
      <c r="F82" s="490"/>
      <c r="G82" s="491"/>
      <c r="I82" s="252"/>
      <c r="J82" s="252"/>
      <c r="K82" s="252"/>
      <c r="L82" s="252"/>
    </row>
    <row r="83" spans="1:12" s="4" customFormat="1" ht="19.5" customHeight="1" x14ac:dyDescent="0.3">
      <c r="A83" s="249" t="s">
        <v>48</v>
      </c>
      <c r="B83" s="253">
        <f>B81-B82</f>
        <v>99.02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4" customFormat="1" ht="27" customHeight="1" x14ac:dyDescent="0.4">
      <c r="A84" s="249" t="s">
        <v>49</v>
      </c>
      <c r="B84" s="256">
        <v>1</v>
      </c>
      <c r="C84" s="492" t="s">
        <v>108</v>
      </c>
      <c r="D84" s="493"/>
      <c r="E84" s="493"/>
      <c r="F84" s="493"/>
      <c r="G84" s="493"/>
      <c r="H84" s="494"/>
      <c r="I84" s="252"/>
      <c r="J84" s="252"/>
      <c r="K84" s="252"/>
      <c r="L84" s="252"/>
    </row>
    <row r="85" spans="1:12" s="4" customFormat="1" ht="27" customHeight="1" x14ac:dyDescent="0.4">
      <c r="A85" s="249" t="s">
        <v>51</v>
      </c>
      <c r="B85" s="256">
        <v>1</v>
      </c>
      <c r="C85" s="492" t="s">
        <v>109</v>
      </c>
      <c r="D85" s="493"/>
      <c r="E85" s="493"/>
      <c r="F85" s="493"/>
      <c r="G85" s="493"/>
      <c r="H85" s="494"/>
      <c r="I85" s="252"/>
      <c r="J85" s="252"/>
      <c r="K85" s="252"/>
      <c r="L85" s="252"/>
    </row>
    <row r="86" spans="1:12" s="4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4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100</v>
      </c>
      <c r="D89" s="342" t="s">
        <v>56</v>
      </c>
      <c r="E89" s="343"/>
      <c r="F89" s="495" t="s">
        <v>57</v>
      </c>
      <c r="G89" s="497"/>
    </row>
    <row r="90" spans="1:12" ht="27" customHeight="1" x14ac:dyDescent="0.4">
      <c r="A90" s="264" t="s">
        <v>58</v>
      </c>
      <c r="B90" s="265">
        <v>1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1</v>
      </c>
      <c r="C91" s="346">
        <v>1</v>
      </c>
      <c r="D91" s="272">
        <v>2556393</v>
      </c>
      <c r="E91" s="273">
        <f>IF(ISBLANK(D91),"-",$D$101/$D$98*D91)</f>
        <v>2741742.8352614692</v>
      </c>
      <c r="F91" s="272">
        <v>2242997</v>
      </c>
      <c r="G91" s="274">
        <f>IF(ISBLANK(F91),"-",$D$101/$F$98*F91)</f>
        <v>2686467.6243613176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2554432</v>
      </c>
      <c r="E92" s="278">
        <f>IF(ISBLANK(D92),"-",$D$101/$D$98*D92)</f>
        <v>2739639.6540604769</v>
      </c>
      <c r="F92" s="277">
        <v>2236790</v>
      </c>
      <c r="G92" s="279">
        <f>IF(ISBLANK(F92),"-",$D$101/$F$98*F92)</f>
        <v>2679033.4171178793</v>
      </c>
      <c r="I92" s="499">
        <f>ABS((F96/D96*D95)-F95)/D95</f>
        <v>1.9529168429018688E-2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2560604</v>
      </c>
      <c r="E93" s="278">
        <f>IF(ISBLANK(D93),"-",$D$101/$D$98*D93)</f>
        <v>2746259.1514457515</v>
      </c>
      <c r="F93" s="277">
        <v>2239854</v>
      </c>
      <c r="G93" s="279">
        <f>IF(ISBLANK(F93),"-",$D$101/$F$98*F93)</f>
        <v>2682703.2110592187</v>
      </c>
      <c r="I93" s="499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2557143</v>
      </c>
      <c r="E95" s="288">
        <f>AVERAGE(E91:E94)</f>
        <v>2742547.2135892324</v>
      </c>
      <c r="F95" s="351">
        <f>AVERAGE(F91:F94)</f>
        <v>2239880.3333333335</v>
      </c>
      <c r="G95" s="352">
        <f>AVERAGE(G91:G94)</f>
        <v>2682734.7508461382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16.739999999999998</v>
      </c>
      <c r="E96" s="280"/>
      <c r="F96" s="292">
        <v>14.99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16.739999999999998</v>
      </c>
      <c r="E97" s="295"/>
      <c r="F97" s="294">
        <f>F96*$B$87</f>
        <v>14.99</v>
      </c>
    </row>
    <row r="98" spans="1:10" ht="19.5" customHeight="1" x14ac:dyDescent="0.3">
      <c r="A98" s="264" t="s">
        <v>73</v>
      </c>
      <c r="B98" s="357">
        <f>(B97/B96)*(B95/B94)*(B93/B92)*(B91/B90)*B89</f>
        <v>100</v>
      </c>
      <c r="C98" s="355" t="s">
        <v>112</v>
      </c>
      <c r="D98" s="358">
        <f>D97*$B$83/100</f>
        <v>16.575947999999997</v>
      </c>
      <c r="E98" s="298"/>
      <c r="F98" s="297">
        <f>F97*$B$83/100</f>
        <v>14.843097999999999</v>
      </c>
    </row>
    <row r="99" spans="1:10" ht="19.5" customHeight="1" x14ac:dyDescent="0.3">
      <c r="A99" s="500" t="s">
        <v>75</v>
      </c>
      <c r="B99" s="514"/>
      <c r="C99" s="355" t="s">
        <v>113</v>
      </c>
      <c r="D99" s="359">
        <f>D98/$B$98</f>
        <v>0.16575947999999996</v>
      </c>
      <c r="E99" s="298"/>
      <c r="F99" s="301">
        <f>F98/$B$98</f>
        <v>0.14843097999999999</v>
      </c>
      <c r="G99" s="360"/>
      <c r="H99" s="290"/>
    </row>
    <row r="100" spans="1:10" ht="19.5" customHeight="1" x14ac:dyDescent="0.3">
      <c r="A100" s="502"/>
      <c r="B100" s="515"/>
      <c r="C100" s="355" t="s">
        <v>77</v>
      </c>
      <c r="D100" s="361">
        <f>$B$56/$B$116</f>
        <v>0.17777777777777778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17.777777777777779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17.777777777777779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2712640.9822176853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1.2133735040853938E-2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900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4</v>
      </c>
      <c r="C108" s="415">
        <v>1</v>
      </c>
      <c r="D108" s="416">
        <v>2791911</v>
      </c>
      <c r="E108" s="390">
        <f t="shared" ref="E108:E113" si="1">IF(ISBLANK(D108),"-",D108/$D$103*$D$100*$B$116)</f>
        <v>823.37796068169962</v>
      </c>
      <c r="F108" s="417">
        <f t="shared" ref="F108:F113" si="2">IF(ISBLANK(D108), "-", (E108/$B$56)*100)</f>
        <v>102.92224508521247</v>
      </c>
    </row>
    <row r="109" spans="1:10" ht="26.25" customHeight="1" x14ac:dyDescent="0.4">
      <c r="A109" s="264" t="s">
        <v>92</v>
      </c>
      <c r="B109" s="265">
        <v>20</v>
      </c>
      <c r="C109" s="411">
        <v>2</v>
      </c>
      <c r="D109" s="413">
        <v>2789606</v>
      </c>
      <c r="E109" s="391">
        <f t="shared" si="1"/>
        <v>822.69818034508728</v>
      </c>
      <c r="F109" s="418">
        <f t="shared" si="2"/>
        <v>102.83727254313591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2797136</v>
      </c>
      <c r="E110" s="391">
        <f t="shared" si="1"/>
        <v>824.91889441653643</v>
      </c>
      <c r="F110" s="418">
        <f t="shared" si="2"/>
        <v>103.11486180206705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2792782</v>
      </c>
      <c r="E111" s="391">
        <f t="shared" si="1"/>
        <v>823.6348321234301</v>
      </c>
      <c r="F111" s="418">
        <f t="shared" si="2"/>
        <v>102.95435401542876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2806225</v>
      </c>
      <c r="E112" s="391">
        <f t="shared" si="1"/>
        <v>827.59938182628389</v>
      </c>
      <c r="F112" s="418">
        <f t="shared" si="2"/>
        <v>103.44992272828549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2789909</v>
      </c>
      <c r="E113" s="392">
        <f t="shared" si="1"/>
        <v>822.78753975593031</v>
      </c>
      <c r="F113" s="419">
        <f t="shared" si="2"/>
        <v>102.8484424694913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824.16946485816118</v>
      </c>
      <c r="F115" s="421">
        <f>AVERAGE(F108:F113)</f>
        <v>103.02118310727015</v>
      </c>
    </row>
    <row r="116" spans="1:10" ht="27" customHeight="1" x14ac:dyDescent="0.4">
      <c r="A116" s="264" t="s">
        <v>100</v>
      </c>
      <c r="B116" s="296">
        <f>(B115/B114)*(B113/B112)*(B111/B110)*(B109/B108)*B107</f>
        <v>4500</v>
      </c>
      <c r="C116" s="374"/>
      <c r="D116" s="398" t="s">
        <v>81</v>
      </c>
      <c r="E116" s="396">
        <f>STDEV(E108:E113)/E115</f>
        <v>2.2577749161718785E-3</v>
      </c>
      <c r="F116" s="375">
        <f>STDEV(F108:F113)/F115</f>
        <v>2.257774916171846E-3</v>
      </c>
      <c r="I116" s="238"/>
    </row>
    <row r="117" spans="1:10" ht="27" customHeight="1" x14ac:dyDescent="0.4">
      <c r="A117" s="500" t="s">
        <v>75</v>
      </c>
      <c r="B117" s="50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2"/>
      <c r="B118" s="503"/>
      <c r="C118" s="238"/>
      <c r="D118" s="400"/>
      <c r="E118" s="480" t="s">
        <v>120</v>
      </c>
      <c r="F118" s="48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822.69818034508728</v>
      </c>
      <c r="F119" s="422">
        <f>MIN(F108:F113)</f>
        <v>102.83727254313591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827.59938182628389</v>
      </c>
      <c r="F120" s="423">
        <f>MAX(F108:F113)</f>
        <v>103.44992272828549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512" t="str">
        <f>B26</f>
        <v>Sulfamethoxazole</v>
      </c>
      <c r="D124" s="512"/>
      <c r="E124" s="338" t="s">
        <v>124</v>
      </c>
      <c r="F124" s="338"/>
      <c r="G124" s="424">
        <f>F115</f>
        <v>103.02118310727015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102.83727254313591</v>
      </c>
      <c r="E125" s="349" t="s">
        <v>127</v>
      </c>
      <c r="F125" s="424">
        <f>MAX(F108:F113)</f>
        <v>103.44992272828549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3" t="s">
        <v>23</v>
      </c>
      <c r="C127" s="513"/>
      <c r="E127" s="344" t="s">
        <v>24</v>
      </c>
      <c r="F127" s="379"/>
      <c r="G127" s="513" t="s">
        <v>25</v>
      </c>
      <c r="H127" s="513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 Sulfamethoxazole</vt:lpstr>
      <vt:lpstr>Uniformity</vt:lpstr>
      <vt:lpstr>Trimethoprim</vt:lpstr>
      <vt:lpstr>Sulfamethoxazole</vt:lpstr>
      <vt:lpstr>'SST 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2018-08-16T13:00:17Z</cp:lastPrinted>
  <dcterms:created xsi:type="dcterms:W3CDTF">2005-07-05T10:19:27Z</dcterms:created>
  <dcterms:modified xsi:type="dcterms:W3CDTF">2018-08-22T10:20:04Z</dcterms:modified>
</cp:coreProperties>
</file>