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 activeTab="3"/>
  </bookViews>
  <sheets>
    <sheet name="SST Trimethoprim" sheetId="5" r:id="rId1"/>
    <sheet name="SST  Sulfamethoxazole" sheetId="6" r:id="rId2"/>
    <sheet name="Uniformity" sheetId="2" r:id="rId3"/>
    <sheet name="Trimethoprim" sheetId="3" r:id="rId4"/>
    <sheet name="Sulfamethoxazole" sheetId="4" r:id="rId5"/>
  </sheets>
  <definedNames>
    <definedName name="_xlnm.Print_Area" localSheetId="1">'SST  Sulfamethoxazole'!$A$15:$I$61</definedName>
    <definedName name="_xlnm.Print_Area" localSheetId="0">'SST Trimethoprim'!$A$15:$H$61</definedName>
    <definedName name="_xlnm.Print_Area" localSheetId="4">Sulfamethoxazole!$A$1:$I$130</definedName>
    <definedName name="_xlnm.Print_Area" localSheetId="3">Trimethoprim!$A$1:$I$129</definedName>
    <definedName name="_xlnm.Print_Area" localSheetId="2">Uniformity!$A$12:$H$54</definedName>
  </definedNames>
  <calcPr calcId="162913"/>
</workbook>
</file>

<file path=xl/calcChain.xml><?xml version="1.0" encoding="utf-8"?>
<calcChain xmlns="http://schemas.openxmlformats.org/spreadsheetml/2006/main">
  <c r="B53" i="6" l="1"/>
  <c r="G51" i="6"/>
  <c r="F51" i="6"/>
  <c r="E51" i="6"/>
  <c r="D51" i="6"/>
  <c r="C51" i="6"/>
  <c r="B51" i="6"/>
  <c r="B52" i="6" s="1"/>
  <c r="B32" i="6"/>
  <c r="G30" i="6"/>
  <c r="E30" i="6"/>
  <c r="D30" i="6"/>
  <c r="C30" i="6"/>
  <c r="B30" i="6"/>
  <c r="B31" i="6" s="1"/>
  <c r="F29" i="6"/>
  <c r="F28" i="6"/>
  <c r="F27" i="6"/>
  <c r="F26" i="6"/>
  <c r="F25" i="6"/>
  <c r="F24" i="6"/>
  <c r="B21" i="6"/>
  <c r="B53" i="5"/>
  <c r="F51" i="5"/>
  <c r="E51" i="5"/>
  <c r="D51" i="5"/>
  <c r="C51" i="5"/>
  <c r="B51" i="5"/>
  <c r="B52" i="5" s="1"/>
  <c r="B32" i="5"/>
  <c r="F30" i="5"/>
  <c r="D30" i="5"/>
  <c r="C30" i="5"/>
  <c r="B30" i="5"/>
  <c r="B31" i="5" s="1"/>
  <c r="E29" i="5"/>
  <c r="E28" i="5"/>
  <c r="E27" i="5"/>
  <c r="E26" i="5"/>
  <c r="E25" i="5"/>
  <c r="E24" i="5"/>
  <c r="B21" i="5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50" i="2"/>
  <c r="C46" i="2"/>
  <c r="B57" i="4" s="1"/>
  <c r="C45" i="2"/>
  <c r="D41" i="2"/>
  <c r="D33" i="2"/>
  <c r="D32" i="2"/>
  <c r="D25" i="2"/>
  <c r="C19" i="2"/>
  <c r="D24" i="2" l="1"/>
  <c r="D40" i="2"/>
  <c r="D49" i="2"/>
  <c r="B69" i="4"/>
  <c r="D26" i="2"/>
  <c r="D34" i="2"/>
  <c r="D42" i="2"/>
  <c r="D50" i="2"/>
  <c r="F30" i="6"/>
  <c r="D27" i="2"/>
  <c r="D35" i="2"/>
  <c r="D43" i="2"/>
  <c r="B57" i="3"/>
  <c r="B69" i="3" s="1"/>
  <c r="D28" i="2"/>
  <c r="D36" i="2"/>
  <c r="E30" i="5"/>
  <c r="D29" i="2"/>
  <c r="D37" i="2"/>
  <c r="D30" i="2"/>
  <c r="D38" i="2"/>
  <c r="B49" i="2"/>
  <c r="D31" i="2"/>
  <c r="D39" i="2"/>
  <c r="C49" i="2"/>
  <c r="I92" i="4"/>
  <c r="I39" i="4"/>
  <c r="F97" i="3"/>
  <c r="F98" i="3" s="1"/>
  <c r="D101" i="3"/>
  <c r="D102" i="3" s="1"/>
  <c r="I92" i="3"/>
  <c r="I39" i="3"/>
  <c r="F44" i="3"/>
  <c r="F45" i="3" s="1"/>
  <c r="D44" i="3"/>
  <c r="D45" i="3" s="1"/>
  <c r="D49" i="3"/>
  <c r="D98" i="3"/>
  <c r="D101" i="4"/>
  <c r="D102" i="4" s="1"/>
  <c r="F97" i="4"/>
  <c r="F98" i="4" s="1"/>
  <c r="D49" i="4"/>
  <c r="D44" i="4"/>
  <c r="D45" i="4" s="1"/>
  <c r="D46" i="4" s="1"/>
  <c r="E38" i="4"/>
  <c r="F44" i="4"/>
  <c r="F45" i="4" s="1"/>
  <c r="G41" i="4" s="1"/>
  <c r="D98" i="4"/>
  <c r="E41" i="4"/>
  <c r="E40" i="4" l="1"/>
  <c r="E39" i="4"/>
  <c r="E42" i="4" s="1"/>
  <c r="E41" i="3"/>
  <c r="E39" i="3"/>
  <c r="E40" i="3"/>
  <c r="E38" i="3"/>
  <c r="D46" i="3"/>
  <c r="E91" i="3"/>
  <c r="E93" i="3"/>
  <c r="D99" i="3"/>
  <c r="E92" i="3"/>
  <c r="E94" i="3"/>
  <c r="G94" i="3"/>
  <c r="G91" i="3"/>
  <c r="G92" i="3"/>
  <c r="G93" i="3"/>
  <c r="F99" i="3"/>
  <c r="F46" i="3"/>
  <c r="G39" i="3"/>
  <c r="G41" i="3"/>
  <c r="G38" i="3"/>
  <c r="G40" i="3"/>
  <c r="G38" i="4"/>
  <c r="G40" i="4"/>
  <c r="F46" i="4"/>
  <c r="G39" i="4"/>
  <c r="G91" i="4"/>
  <c r="G93" i="4"/>
  <c r="F99" i="4"/>
  <c r="G92" i="4"/>
  <c r="G94" i="4"/>
  <c r="E93" i="4"/>
  <c r="D99" i="4"/>
  <c r="E92" i="4"/>
  <c r="E94" i="4"/>
  <c r="E91" i="4"/>
  <c r="G95" i="3" l="1"/>
  <c r="E42" i="3"/>
  <c r="D52" i="3"/>
  <c r="D50" i="3"/>
  <c r="G61" i="3" s="1"/>
  <c r="H61" i="3" s="1"/>
  <c r="G42" i="3"/>
  <c r="D103" i="3"/>
  <c r="D105" i="3"/>
  <c r="E95" i="3"/>
  <c r="D50" i="4"/>
  <c r="G68" i="4" s="1"/>
  <c r="H68" i="4" s="1"/>
  <c r="G42" i="4"/>
  <c r="D52" i="4"/>
  <c r="G71" i="4"/>
  <c r="H71" i="4" s="1"/>
  <c r="D105" i="4"/>
  <c r="E95" i="4"/>
  <c r="D103" i="4"/>
  <c r="G95" i="4"/>
  <c r="G61" i="4" l="1"/>
  <c r="H61" i="4" s="1"/>
  <c r="G68" i="3"/>
  <c r="H68" i="3" s="1"/>
  <c r="G62" i="3"/>
  <c r="H62" i="3" s="1"/>
  <c r="G71" i="3"/>
  <c r="H71" i="3" s="1"/>
  <c r="G63" i="3"/>
  <c r="H63" i="3" s="1"/>
  <c r="G60" i="3"/>
  <c r="H60" i="3" s="1"/>
  <c r="G69" i="3"/>
  <c r="H69" i="3" s="1"/>
  <c r="D51" i="3"/>
  <c r="G70" i="3"/>
  <c r="H70" i="3" s="1"/>
  <c r="G66" i="3"/>
  <c r="H66" i="3" s="1"/>
  <c r="G67" i="3"/>
  <c r="H67" i="3" s="1"/>
  <c r="G65" i="3"/>
  <c r="H65" i="3" s="1"/>
  <c r="G64" i="3"/>
  <c r="H64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65" i="4"/>
  <c r="H65" i="4" s="1"/>
  <c r="D51" i="4"/>
  <c r="G70" i="4"/>
  <c r="H70" i="4" s="1"/>
  <c r="G66" i="4"/>
  <c r="H66" i="4" s="1"/>
  <c r="G60" i="4"/>
  <c r="H60" i="4" s="1"/>
  <c r="G67" i="4"/>
  <c r="H67" i="4" s="1"/>
  <c r="G63" i="4"/>
  <c r="H63" i="4" s="1"/>
  <c r="G69" i="4"/>
  <c r="H69" i="4" s="1"/>
  <c r="G62" i="4"/>
  <c r="H62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3" l="1"/>
  <c r="G73" i="3" s="1"/>
  <c r="G74" i="3"/>
  <c r="E119" i="3"/>
  <c r="E117" i="3"/>
  <c r="F108" i="3"/>
  <c r="E115" i="3"/>
  <c r="E116" i="3" s="1"/>
  <c r="E120" i="3"/>
  <c r="H74" i="3"/>
  <c r="H72" i="3"/>
  <c r="H72" i="4"/>
  <c r="H73" i="4" s="1"/>
  <c r="H74" i="4"/>
  <c r="G74" i="4"/>
  <c r="G72" i="4"/>
  <c r="G73" i="4" s="1"/>
  <c r="E119" i="4"/>
  <c r="E115" i="4"/>
  <c r="E116" i="4" s="1"/>
  <c r="E120" i="4"/>
  <c r="E117" i="4"/>
  <c r="F108" i="4"/>
  <c r="G76" i="4" l="1"/>
  <c r="G76" i="3"/>
  <c r="H73" i="3"/>
  <c r="F125" i="3"/>
  <c r="F120" i="3"/>
  <c r="F117" i="3"/>
  <c r="F119" i="3"/>
  <c r="D125" i="3"/>
  <c r="F115" i="3"/>
  <c r="F119" i="4"/>
  <c r="D125" i="4"/>
  <c r="F115" i="4"/>
  <c r="F125" i="4"/>
  <c r="F120" i="4"/>
  <c r="F117" i="4"/>
  <c r="G124" i="3" l="1"/>
  <c r="F116" i="3"/>
  <c r="G124" i="4"/>
  <c r="F116" i="4"/>
</calcChain>
</file>

<file path=xl/sharedStrings.xml><?xml version="1.0" encoding="utf-8"?>
<sst xmlns="http://schemas.openxmlformats.org/spreadsheetml/2006/main" count="462" uniqueCount="144">
  <si>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</si>
  <si>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</si>
  <si>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</si>
  <si>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</si>
  <si>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</si>
  <si>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</si>
  <si>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</si>
  <si>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NDQB201808038</t>
  </si>
  <si>
    <t>Weight (mg):</t>
  </si>
  <si>
    <t>Sulphamethoxazole B.P 800 mg, Trimethoprim B.P 160 mg</t>
  </si>
  <si>
    <t>Standard Conc (mg/mL):</t>
  </si>
  <si>
    <t>Each tablet contains: Sulphamethoxazole B.P 800 mg and Trimethoprim B.P 160 mg.</t>
  </si>
  <si>
    <t>2018-08-08 08:11:02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</si>
  <si>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</si>
  <si>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</si>
  <si>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</si>
  <si>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</si>
  <si>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</si>
  <si>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</si>
  <si>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</si>
  <si>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</si>
  <si>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</si>
  <si>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</si>
  <si>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</si>
  <si>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</si>
  <si>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</si>
  <si>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</si>
  <si>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</si>
  <si>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</si>
  <si>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</si>
  <si>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</si>
  <si>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</si>
  <si>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</si>
  <si>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</si>
  <si>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</si>
  <si>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</si>
  <si>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</si>
  <si>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</si>
  <si>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</si>
  <si>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</si>
  <si>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</si>
  <si>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</si>
  <si>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</si>
  <si>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</si>
  <si>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</si>
  <si>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</si>
  <si>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</si>
  <si>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</si>
  <si>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</si>
  <si>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</si>
  <si>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</si>
  <si>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</si>
  <si>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</si>
  <si>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</si>
  <si>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</si>
  <si>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</si>
  <si>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</si>
  <si>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</si>
  <si>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</si>
  <si>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</si>
  <si>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</si>
  <si>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</si>
  <si>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</si>
  <si>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</si>
  <si>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</si>
  <si>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</si>
  <si>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</si>
  <si>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</si>
  <si>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</si>
  <si>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</si>
  <si>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</si>
  <si>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</si>
  <si>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</si>
  <si>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</si>
  <si>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</si>
  <si>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</si>
  <si>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</si>
  <si>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</si>
  <si>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</si>
  <si>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</si>
  <si>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</si>
  <si>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</si>
  <si>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</si>
  <si>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</si>
  <si>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</si>
  <si>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</si>
  <si>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</si>
  <si>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</si>
  <si>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</si>
  <si>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</si>
  <si>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</si>
  <si>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</si>
  <si>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</si>
  <si>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</si>
  <si>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</si>
  <si>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</si>
  <si>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</si>
  <si>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</si>
  <si>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</si>
  <si>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</si>
  <si>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</si>
  <si>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</si>
  <si>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</si>
  <si>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</si>
  <si>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</si>
  <si>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</si>
  <si>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</si>
  <si>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</si>
  <si>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</si>
  <si>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</si>
  <si>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</si>
  <si>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</si>
  <si>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</si>
  <si>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</si>
  <si>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</si>
  <si>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</si>
  <si>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</si>
  <si>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</si>
  <si>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</si>
  <si>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</si>
  <si>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</si>
  <si>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</si>
  <si>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</si>
  <si>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</si>
  <si>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</si>
  <si>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</si>
  <si>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</si>
  <si>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</si>
  <si>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</si>
  <si>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S12-6</t>
  </si>
  <si>
    <t>Trimethoprim</t>
  </si>
  <si>
    <t>T7-5</t>
  </si>
  <si>
    <t>SULFRAN - DS  TABLETS</t>
  </si>
  <si>
    <t xml:space="preserve">Trimethoprim </t>
  </si>
  <si>
    <t>RRT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</si>
  <si>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</si>
  <si>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</si>
  <si>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</si>
  <si>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Resolution between Sulfamethoxazole and Trimethoprim peaks should be </t>
    </r>
    <r>
      <rPr>
        <b/>
        <sz val="12"/>
        <color rgb="FF000000"/>
        <rFont val="Book Antiqua"/>
        <family val="1"/>
      </rPr>
      <t>NLT 5.0</t>
    </r>
  </si>
  <si>
    <t xml:space="preserve">RUTTO  KENNEDY </t>
  </si>
  <si>
    <t>16TH AUG 2018</t>
  </si>
  <si>
    <t>Sulfamethoxazole</t>
  </si>
  <si>
    <t>Resolution(USP)</t>
  </si>
  <si>
    <t>RUTTO 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</si>
</sst>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51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2" fontId="10" fillId="2" borderId="13" xfId="0" applyNumberFormat="1" applyFont="1" applyFill="1" applyBorder="1" applyAlignment="1">
      <alignment horizontal="center" vertical="center"/>
    </xf>
    <xf numFmtId="172" fontId="10" fillId="2" borderId="14" xfId="0" applyNumberFormat="1" applyFont="1" applyFill="1" applyBorder="1" applyAlignment="1">
      <alignment horizontal="center" vertical="center"/>
    </xf>
    <xf numFmtId="172" fontId="10" fillId="2" borderId="15" xfId="0" applyNumberFormat="1" applyFont="1" applyFill="1" applyBorder="1" applyAlignment="1">
      <alignment horizontal="center" vertical="center"/>
    </xf>
    <xf numFmtId="172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2" fontId="10" fillId="2" borderId="22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2" fontId="10" fillId="2" borderId="44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3" fontId="12" fillId="7" borderId="52" xfId="0" applyNumberFormat="1" applyFont="1" applyFill="1" applyBorder="1" applyAlignment="1">
      <alignment horizontal="center"/>
    </xf>
    <xf numFmtId="173" fontId="12" fillId="6" borderId="54" xfId="0" applyNumberFormat="1" applyFont="1" applyFill="1" applyBorder="1" applyAlignment="1">
      <alignment horizontal="center"/>
    </xf>
    <xf numFmtId="173" fontId="12" fillId="7" borderId="46" xfId="0" applyNumberFormat="1" applyFont="1" applyFill="1" applyBorder="1" applyAlignment="1">
      <alignment horizontal="center"/>
    </xf>
    <xf numFmtId="174" fontId="19" fillId="2" borderId="0" xfId="0" applyNumberFormat="1" applyFont="1" applyFill="1" applyAlignment="1">
      <alignment horizontal="center"/>
    </xf>
    <xf numFmtId="173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2" fontId="10" fillId="2" borderId="13" xfId="0" applyNumberFormat="1" applyFont="1" applyFill="1" applyBorder="1" applyAlignment="1">
      <alignment horizontal="center" vertical="center"/>
    </xf>
    <xf numFmtId="172" fontId="10" fillId="2" borderId="14" xfId="0" applyNumberFormat="1" applyFont="1" applyFill="1" applyBorder="1" applyAlignment="1">
      <alignment horizontal="center" vertical="center"/>
    </xf>
    <xf numFmtId="172" fontId="10" fillId="2" borderId="15" xfId="0" applyNumberFormat="1" applyFont="1" applyFill="1" applyBorder="1" applyAlignment="1">
      <alignment horizontal="center" vertical="center"/>
    </xf>
    <xf numFmtId="172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2" fontId="10" fillId="2" borderId="22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2" fontId="10" fillId="2" borderId="44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3" fontId="12" fillId="7" borderId="52" xfId="0" applyNumberFormat="1" applyFont="1" applyFill="1" applyBorder="1" applyAlignment="1">
      <alignment horizontal="center"/>
    </xf>
    <xf numFmtId="173" fontId="12" fillId="6" borderId="54" xfId="0" applyNumberFormat="1" applyFont="1" applyFill="1" applyBorder="1" applyAlignment="1">
      <alignment horizontal="center"/>
    </xf>
    <xf numFmtId="173" fontId="12" fillId="7" borderId="46" xfId="0" applyNumberFormat="1" applyFont="1" applyFill="1" applyBorder="1" applyAlignment="1">
      <alignment horizontal="center"/>
    </xf>
    <xf numFmtId="174" fontId="19" fillId="2" borderId="0" xfId="0" applyNumberFormat="1" applyFont="1" applyFill="1" applyAlignment="1">
      <alignment horizontal="center"/>
    </xf>
    <xf numFmtId="173" fontId="12" fillId="2" borderId="0" xfId="0" applyNumberFormat="1" applyFont="1" applyFill="1" applyAlignment="1">
      <alignment horizontal="center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10" fontId="26" fillId="2" borderId="9" xfId="1" applyNumberFormat="1" applyFont="1" applyFill="1" applyBorder="1"/>
    <xf numFmtId="10" fontId="26" fillId="2" borderId="0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" workbookViewId="0">
      <selection activeCell="B16" sqref="B16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61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468" t="s">
        <v>0</v>
      </c>
      <c r="B15" s="468"/>
      <c r="C15" s="468"/>
      <c r="D15" s="468"/>
      <c r="E15" s="468"/>
      <c r="F15" s="468"/>
    </row>
    <row r="16" spans="1:7" ht="16.5" customHeight="1" x14ac:dyDescent="0.3">
      <c r="A16" s="427" t="s">
        <v>1</v>
      </c>
      <c r="B16" s="428" t="s">
        <v>2</v>
      </c>
    </row>
    <row r="17" spans="1:6" ht="16.5" customHeight="1" x14ac:dyDescent="0.3">
      <c r="A17" s="429" t="s">
        <v>3</v>
      </c>
      <c r="B17" s="429" t="s">
        <v>132</v>
      </c>
      <c r="D17" s="430"/>
      <c r="E17" s="430"/>
      <c r="F17" s="431"/>
    </row>
    <row r="18" spans="1:6" ht="16.5" customHeight="1" x14ac:dyDescent="0.3">
      <c r="A18" s="432" t="s">
        <v>4</v>
      </c>
      <c r="B18" s="433" t="s">
        <v>133</v>
      </c>
      <c r="C18" s="431"/>
      <c r="D18" s="431"/>
      <c r="E18" s="431"/>
      <c r="F18" s="431"/>
    </row>
    <row r="19" spans="1:6" ht="16.5" customHeight="1" x14ac:dyDescent="0.3">
      <c r="A19" s="432" t="s">
        <v>6</v>
      </c>
      <c r="B19" s="433">
        <v>99.75</v>
      </c>
      <c r="C19" s="431"/>
      <c r="D19" s="431"/>
      <c r="E19" s="431"/>
      <c r="F19" s="431"/>
    </row>
    <row r="20" spans="1:6" ht="16.5" customHeight="1" x14ac:dyDescent="0.3">
      <c r="A20" s="429" t="s">
        <v>8</v>
      </c>
      <c r="B20" s="433">
        <v>19.89</v>
      </c>
      <c r="C20" s="431"/>
      <c r="D20" s="431"/>
      <c r="E20" s="431"/>
      <c r="F20" s="431"/>
    </row>
    <row r="21" spans="1:6" ht="16.5" customHeight="1" x14ac:dyDescent="0.3">
      <c r="A21" s="429" t="s">
        <v>10</v>
      </c>
      <c r="B21" s="434">
        <f>B20/25*4/100</f>
        <v>3.1823999999999998E-2</v>
      </c>
      <c r="C21" s="431"/>
      <c r="D21" s="431"/>
      <c r="E21" s="431"/>
      <c r="F21" s="431"/>
    </row>
    <row r="22" spans="1:6" ht="15.75" customHeight="1" x14ac:dyDescent="0.25">
      <c r="A22" s="431"/>
      <c r="B22" s="431"/>
      <c r="C22" s="431"/>
      <c r="D22" s="431"/>
      <c r="E22" s="431"/>
      <c r="F22" s="431"/>
    </row>
    <row r="23" spans="1:6" ht="16.5" customHeight="1" x14ac:dyDescent="0.3">
      <c r="A23" s="435" t="s">
        <v>13</v>
      </c>
      <c r="B23" s="436" t="s">
        <v>14</v>
      </c>
      <c r="C23" s="435" t="s">
        <v>15</v>
      </c>
      <c r="D23" s="435" t="s">
        <v>16</v>
      </c>
      <c r="E23" s="435" t="s">
        <v>134</v>
      </c>
      <c r="F23" s="435" t="s">
        <v>17</v>
      </c>
    </row>
    <row r="24" spans="1:6" ht="16.5" customHeight="1" x14ac:dyDescent="0.3">
      <c r="A24" s="437">
        <v>1</v>
      </c>
      <c r="B24" s="438">
        <v>173822</v>
      </c>
      <c r="C24" s="438">
        <v>5629</v>
      </c>
      <c r="D24" s="439">
        <v>1.2</v>
      </c>
      <c r="E24" s="439">
        <f t="shared" ref="E24:E29" si="0">3/3</f>
        <v>1</v>
      </c>
      <c r="F24" s="440">
        <v>3</v>
      </c>
    </row>
    <row r="25" spans="1:6" ht="16.5" customHeight="1" x14ac:dyDescent="0.3">
      <c r="A25" s="437">
        <v>2</v>
      </c>
      <c r="B25" s="438">
        <v>173587</v>
      </c>
      <c r="C25" s="438">
        <v>5629</v>
      </c>
      <c r="D25" s="439">
        <v>1.2</v>
      </c>
      <c r="E25" s="439">
        <f t="shared" si="0"/>
        <v>1</v>
      </c>
      <c r="F25" s="439">
        <v>3</v>
      </c>
    </row>
    <row r="26" spans="1:6" ht="16.5" customHeight="1" x14ac:dyDescent="0.3">
      <c r="A26" s="437">
        <v>3</v>
      </c>
      <c r="B26" s="438">
        <v>173292</v>
      </c>
      <c r="C26" s="438">
        <v>5665</v>
      </c>
      <c r="D26" s="439">
        <v>1.2</v>
      </c>
      <c r="E26" s="439">
        <f t="shared" si="0"/>
        <v>1</v>
      </c>
      <c r="F26" s="439">
        <v>3</v>
      </c>
    </row>
    <row r="27" spans="1:6" ht="16.5" customHeight="1" x14ac:dyDescent="0.3">
      <c r="A27" s="437">
        <v>4</v>
      </c>
      <c r="B27" s="438">
        <v>173554</v>
      </c>
      <c r="C27" s="438">
        <v>5729</v>
      </c>
      <c r="D27" s="439">
        <v>1.2</v>
      </c>
      <c r="E27" s="439">
        <f t="shared" si="0"/>
        <v>1</v>
      </c>
      <c r="F27" s="439">
        <v>3</v>
      </c>
    </row>
    <row r="28" spans="1:6" ht="16.5" customHeight="1" x14ac:dyDescent="0.3">
      <c r="A28" s="437">
        <v>5</v>
      </c>
      <c r="B28" s="438">
        <v>173405</v>
      </c>
      <c r="C28" s="438">
        <v>5714</v>
      </c>
      <c r="D28" s="439">
        <v>1.2</v>
      </c>
      <c r="E28" s="439">
        <f t="shared" si="0"/>
        <v>1</v>
      </c>
      <c r="F28" s="439">
        <v>3</v>
      </c>
    </row>
    <row r="29" spans="1:6" ht="16.5" customHeight="1" x14ac:dyDescent="0.3">
      <c r="A29" s="437">
        <v>6</v>
      </c>
      <c r="B29" s="441">
        <v>173346</v>
      </c>
      <c r="C29" s="441">
        <v>5758</v>
      </c>
      <c r="D29" s="442">
        <v>1.2</v>
      </c>
      <c r="E29" s="442">
        <f t="shared" si="0"/>
        <v>1</v>
      </c>
      <c r="F29" s="442">
        <v>3</v>
      </c>
    </row>
    <row r="30" spans="1:6" ht="16.5" customHeight="1" x14ac:dyDescent="0.3">
      <c r="A30" s="443" t="s">
        <v>18</v>
      </c>
      <c r="B30" s="444">
        <f>AVERAGE(B24:B29)</f>
        <v>173501</v>
      </c>
      <c r="C30" s="445">
        <f>AVERAGE(C24:C29)</f>
        <v>5687.333333333333</v>
      </c>
      <c r="D30" s="446">
        <f>AVERAGE(D24:D29)</f>
        <v>1.2</v>
      </c>
      <c r="E30" s="446">
        <f>AVERAGE(E24:E29)</f>
        <v>1</v>
      </c>
      <c r="F30" s="446">
        <f>AVERAGE(F24:F29)</f>
        <v>3</v>
      </c>
    </row>
    <row r="31" spans="1:6" ht="16.5" customHeight="1" x14ac:dyDescent="0.3">
      <c r="A31" s="447" t="s">
        <v>19</v>
      </c>
      <c r="B31" s="448">
        <f>(STDEV(B24:B29)/B30)</f>
        <v>1.1240399192821609E-3</v>
      </c>
      <c r="C31" s="449"/>
      <c r="D31" s="449"/>
      <c r="E31" s="449"/>
      <c r="F31" s="450"/>
    </row>
    <row r="32" spans="1:6" s="425" customFormat="1" ht="16.5" customHeight="1" x14ac:dyDescent="0.3">
      <c r="A32" s="451" t="s">
        <v>20</v>
      </c>
      <c r="B32" s="452">
        <f>COUNT(B24:B29)</f>
        <v>6</v>
      </c>
      <c r="C32" s="453"/>
      <c r="D32" s="454"/>
      <c r="E32" s="454"/>
      <c r="F32" s="455"/>
    </row>
    <row r="33" spans="1:6" s="425" customFormat="1" ht="15.75" customHeight="1" x14ac:dyDescent="0.25">
      <c r="A33" s="431"/>
      <c r="B33" s="431"/>
      <c r="C33" s="431"/>
      <c r="D33" s="431"/>
      <c r="E33" s="431"/>
      <c r="F33" s="431"/>
    </row>
    <row r="34" spans="1:6" s="425" customFormat="1" ht="16.5" customHeight="1" x14ac:dyDescent="0.3">
      <c r="A34" s="432" t="s">
        <v>21</v>
      </c>
      <c r="B34" s="456" t="s">
        <v>135</v>
      </c>
      <c r="C34" s="457"/>
      <c r="D34" s="457"/>
      <c r="E34" s="457"/>
      <c r="F34" s="457"/>
    </row>
    <row r="35" spans="1:6" ht="16.5" customHeight="1" x14ac:dyDescent="0.3">
      <c r="A35" s="432"/>
      <c r="B35" s="456" t="s">
        <v>136</v>
      </c>
      <c r="C35" s="457"/>
      <c r="D35" s="457"/>
      <c r="E35" s="457"/>
      <c r="F35" s="457"/>
    </row>
    <row r="36" spans="1:6" ht="16.5" customHeight="1" x14ac:dyDescent="0.3">
      <c r="A36" s="432"/>
      <c r="B36" s="456" t="s">
        <v>137</v>
      </c>
      <c r="C36" s="457"/>
      <c r="D36" s="457"/>
      <c r="E36" s="457"/>
      <c r="F36" s="457"/>
    </row>
    <row r="37" spans="1:6" ht="15.75" customHeight="1" x14ac:dyDescent="0.3">
      <c r="A37" s="431"/>
      <c r="B37" s="431" t="s">
        <v>138</v>
      </c>
      <c r="C37" s="431"/>
      <c r="D37" s="431"/>
      <c r="E37" s="431"/>
      <c r="F37" s="431"/>
    </row>
    <row r="38" spans="1:6" ht="16.5" customHeight="1" x14ac:dyDescent="0.3">
      <c r="A38" s="427" t="s">
        <v>1</v>
      </c>
      <c r="B38" s="428" t="s">
        <v>22</v>
      </c>
    </row>
    <row r="39" spans="1:6" ht="16.5" customHeight="1" x14ac:dyDescent="0.3">
      <c r="A39" s="432" t="s">
        <v>4</v>
      </c>
      <c r="B39" s="429"/>
      <c r="C39" s="431"/>
      <c r="D39" s="431"/>
      <c r="E39" s="431"/>
      <c r="F39" s="431"/>
    </row>
    <row r="40" spans="1:6" ht="16.5" customHeight="1" x14ac:dyDescent="0.3">
      <c r="A40" s="432" t="s">
        <v>6</v>
      </c>
      <c r="B40" s="433"/>
      <c r="C40" s="431"/>
      <c r="D40" s="431"/>
      <c r="E40" s="431"/>
      <c r="F40" s="431"/>
    </row>
    <row r="41" spans="1:6" ht="16.5" customHeight="1" x14ac:dyDescent="0.3">
      <c r="A41" s="429" t="s">
        <v>8</v>
      </c>
      <c r="B41" s="433"/>
      <c r="C41" s="431"/>
      <c r="D41" s="431"/>
      <c r="E41" s="431"/>
      <c r="F41" s="431"/>
    </row>
    <row r="42" spans="1:6" ht="16.5" customHeight="1" x14ac:dyDescent="0.3">
      <c r="A42" s="429" t="s">
        <v>10</v>
      </c>
      <c r="B42" s="434"/>
      <c r="C42" s="431"/>
      <c r="D42" s="431"/>
      <c r="E42" s="431"/>
      <c r="F42" s="431"/>
    </row>
    <row r="43" spans="1:6" ht="15.75" customHeight="1" x14ac:dyDescent="0.25">
      <c r="A43" s="431"/>
      <c r="B43" s="431"/>
      <c r="C43" s="431"/>
      <c r="D43" s="431"/>
      <c r="E43" s="431"/>
      <c r="F43" s="431"/>
    </row>
    <row r="44" spans="1:6" ht="16.5" customHeight="1" x14ac:dyDescent="0.3">
      <c r="A44" s="435" t="s">
        <v>13</v>
      </c>
      <c r="B44" s="436" t="s">
        <v>14</v>
      </c>
      <c r="C44" s="435" t="s">
        <v>15</v>
      </c>
      <c r="D44" s="435" t="s">
        <v>16</v>
      </c>
      <c r="E44" s="435" t="s">
        <v>134</v>
      </c>
      <c r="F44" s="435" t="s">
        <v>17</v>
      </c>
    </row>
    <row r="45" spans="1:6" ht="16.5" customHeight="1" x14ac:dyDescent="0.3">
      <c r="A45" s="437">
        <v>1</v>
      </c>
      <c r="B45" s="438"/>
      <c r="C45" s="438"/>
      <c r="D45" s="439"/>
      <c r="E45" s="439"/>
      <c r="F45" s="440"/>
    </row>
    <row r="46" spans="1:6" ht="16.5" customHeight="1" x14ac:dyDescent="0.3">
      <c r="A46" s="437">
        <v>2</v>
      </c>
      <c r="B46" s="438"/>
      <c r="C46" s="438"/>
      <c r="D46" s="439"/>
      <c r="E46" s="439"/>
      <c r="F46" s="439"/>
    </row>
    <row r="47" spans="1:6" ht="16.5" customHeight="1" x14ac:dyDescent="0.3">
      <c r="A47" s="437">
        <v>3</v>
      </c>
      <c r="B47" s="438"/>
      <c r="C47" s="438"/>
      <c r="D47" s="439"/>
      <c r="E47" s="439"/>
      <c r="F47" s="439"/>
    </row>
    <row r="48" spans="1:6" ht="16.5" customHeight="1" x14ac:dyDescent="0.3">
      <c r="A48" s="437">
        <v>4</v>
      </c>
      <c r="B48" s="438"/>
      <c r="C48" s="438"/>
      <c r="D48" s="439"/>
      <c r="E48" s="439"/>
      <c r="F48" s="439"/>
    </row>
    <row r="49" spans="1:8" ht="16.5" customHeight="1" x14ac:dyDescent="0.3">
      <c r="A49" s="437">
        <v>5</v>
      </c>
      <c r="B49" s="438"/>
      <c r="C49" s="438"/>
      <c r="D49" s="439"/>
      <c r="E49" s="439"/>
      <c r="F49" s="439"/>
    </row>
    <row r="50" spans="1:8" ht="16.5" customHeight="1" x14ac:dyDescent="0.3">
      <c r="A50" s="437">
        <v>6</v>
      </c>
      <c r="B50" s="441"/>
      <c r="C50" s="441"/>
      <c r="D50" s="442"/>
      <c r="E50" s="442"/>
      <c r="F50" s="442"/>
    </row>
    <row r="51" spans="1:8" ht="16.5" customHeight="1" x14ac:dyDescent="0.3">
      <c r="A51" s="443" t="s">
        <v>18</v>
      </c>
      <c r="B51" s="444" t="e">
        <f>AVERAGE(B45:B50)</f>
        <v>#DIV/0!</v>
      </c>
      <c r="C51" s="445" t="e">
        <f>AVERAGE(C45:C50)</f>
        <v>#DIV/0!</v>
      </c>
      <c r="D51" s="446" t="e">
        <f>AVERAGE(D45:D50)</f>
        <v>#DIV/0!</v>
      </c>
      <c r="E51" s="446" t="e">
        <f>AVERAGE(E45:E50)</f>
        <v>#DIV/0!</v>
      </c>
      <c r="F51" s="446" t="e">
        <f>AVERAGE(F45:F50)</f>
        <v>#DIV/0!</v>
      </c>
    </row>
    <row r="52" spans="1:8" ht="16.5" customHeight="1" x14ac:dyDescent="0.3">
      <c r="A52" s="447" t="s">
        <v>19</v>
      </c>
      <c r="B52" s="448" t="e">
        <f>(STDEV(B45:B50)/B51)</f>
        <v>#DIV/0!</v>
      </c>
      <c r="C52" s="449"/>
      <c r="D52" s="449"/>
      <c r="E52" s="449"/>
      <c r="F52" s="450"/>
    </row>
    <row r="53" spans="1:8" s="425" customFormat="1" ht="16.5" customHeight="1" x14ac:dyDescent="0.3">
      <c r="A53" s="451" t="s">
        <v>20</v>
      </c>
      <c r="B53" s="452">
        <f>COUNT(B45:B50)</f>
        <v>0</v>
      </c>
      <c r="C53" s="453"/>
      <c r="D53" s="454"/>
      <c r="E53" s="454"/>
      <c r="F53" s="455"/>
    </row>
    <row r="54" spans="1:8" s="425" customFormat="1" ht="15.75" customHeight="1" x14ac:dyDescent="0.25">
      <c r="A54" s="431"/>
      <c r="B54" s="431"/>
      <c r="C54" s="431"/>
      <c r="D54" s="431"/>
      <c r="E54" s="431"/>
      <c r="F54" s="431"/>
    </row>
    <row r="55" spans="1:8" s="425" customFormat="1" ht="16.5" customHeight="1" x14ac:dyDescent="0.3">
      <c r="A55" s="432" t="s">
        <v>21</v>
      </c>
      <c r="B55" s="456" t="s">
        <v>135</v>
      </c>
      <c r="C55" s="457"/>
      <c r="D55" s="457"/>
      <c r="E55" s="457"/>
      <c r="F55" s="457"/>
    </row>
    <row r="56" spans="1:8" ht="16.5" customHeight="1" x14ac:dyDescent="0.3">
      <c r="A56" s="432"/>
      <c r="B56" s="456" t="s">
        <v>136</v>
      </c>
      <c r="C56" s="457"/>
      <c r="D56" s="457"/>
      <c r="E56" s="457"/>
      <c r="F56" s="457"/>
    </row>
    <row r="57" spans="1:8" ht="16.5" customHeight="1" x14ac:dyDescent="0.3">
      <c r="A57" s="432"/>
      <c r="B57" s="456" t="s">
        <v>137</v>
      </c>
      <c r="C57" s="457"/>
      <c r="D57" s="457"/>
      <c r="E57" s="457"/>
      <c r="F57" s="457"/>
    </row>
    <row r="58" spans="1:8" ht="14.25" customHeight="1" thickBot="1" x14ac:dyDescent="0.35">
      <c r="A58" s="458"/>
      <c r="B58" s="431" t="s">
        <v>138</v>
      </c>
      <c r="D58" s="459"/>
      <c r="E58" s="460"/>
      <c r="G58" s="461"/>
      <c r="H58" s="461"/>
    </row>
    <row r="59" spans="1:8" ht="15" customHeight="1" x14ac:dyDescent="0.3">
      <c r="B59" s="469" t="s">
        <v>23</v>
      </c>
      <c r="C59" s="469"/>
      <c r="F59" s="462" t="s">
        <v>24</v>
      </c>
      <c r="G59" s="463"/>
      <c r="H59" s="462" t="s">
        <v>25</v>
      </c>
    </row>
    <row r="60" spans="1:8" ht="15" customHeight="1" x14ac:dyDescent="0.3">
      <c r="A60" s="464" t="s">
        <v>26</v>
      </c>
      <c r="B60" s="465" t="s">
        <v>139</v>
      </c>
      <c r="C60" s="465"/>
      <c r="F60" s="465" t="s">
        <v>140</v>
      </c>
      <c r="H60" s="465"/>
    </row>
    <row r="61" spans="1:8" ht="15" customHeight="1" x14ac:dyDescent="0.3">
      <c r="A61" s="464" t="s">
        <v>27</v>
      </c>
      <c r="B61" s="466"/>
      <c r="C61" s="466"/>
      <c r="F61" s="466"/>
      <c r="H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1"/>
  <sheetViews>
    <sheetView workbookViewId="0">
      <selection activeCell="B22" sqref="B22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6" width="25.85546875" style="425" customWidth="1"/>
    <col min="7" max="7" width="25.7109375" style="425" customWidth="1"/>
    <col min="8" max="8" width="23.140625" style="425" customWidth="1"/>
    <col min="9" max="9" width="28.42578125" style="425" customWidth="1"/>
    <col min="10" max="10" width="21.5703125" style="425" customWidth="1"/>
    <col min="11" max="11" width="9.140625" style="425" customWidth="1"/>
    <col min="12" max="16384" width="9.140625" style="461"/>
  </cols>
  <sheetData>
    <row r="14" spans="1:8" ht="15" customHeight="1" x14ac:dyDescent="0.3">
      <c r="A14" s="424"/>
      <c r="C14" s="426"/>
      <c r="H14" s="426"/>
    </row>
    <row r="15" spans="1:8" ht="18.75" customHeight="1" x14ac:dyDescent="0.3">
      <c r="A15" s="468" t="s">
        <v>0</v>
      </c>
      <c r="B15" s="468"/>
      <c r="C15" s="468"/>
      <c r="D15" s="468"/>
      <c r="E15" s="468"/>
      <c r="F15" s="468"/>
      <c r="G15" s="468"/>
    </row>
    <row r="16" spans="1:8" ht="16.5" customHeight="1" x14ac:dyDescent="0.3">
      <c r="A16" s="427" t="s">
        <v>1</v>
      </c>
      <c r="B16" s="428" t="s">
        <v>2</v>
      </c>
    </row>
    <row r="17" spans="1:7" ht="16.5" customHeight="1" x14ac:dyDescent="0.3">
      <c r="A17" s="429" t="s">
        <v>3</v>
      </c>
      <c r="B17" s="429" t="s">
        <v>132</v>
      </c>
      <c r="D17" s="430"/>
      <c r="E17" s="430"/>
      <c r="F17" s="430"/>
      <c r="G17" s="431"/>
    </row>
    <row r="18" spans="1:7" ht="16.5" customHeight="1" x14ac:dyDescent="0.3">
      <c r="A18" s="432" t="s">
        <v>4</v>
      </c>
      <c r="B18" s="433" t="s">
        <v>141</v>
      </c>
      <c r="C18" s="431"/>
      <c r="D18" s="431"/>
      <c r="E18" s="431"/>
      <c r="F18" s="431"/>
      <c r="G18" s="431"/>
    </row>
    <row r="19" spans="1:7" ht="16.5" customHeight="1" x14ac:dyDescent="0.3">
      <c r="A19" s="432" t="s">
        <v>6</v>
      </c>
      <c r="B19" s="433">
        <v>99.02</v>
      </c>
      <c r="C19" s="431"/>
      <c r="D19" s="431"/>
      <c r="E19" s="431"/>
      <c r="F19" s="431"/>
      <c r="G19" s="431"/>
    </row>
    <row r="20" spans="1:7" ht="16.5" customHeight="1" x14ac:dyDescent="0.3">
      <c r="A20" s="429" t="s">
        <v>8</v>
      </c>
      <c r="B20" s="433">
        <v>16.739999999999998</v>
      </c>
      <c r="C20" s="431"/>
      <c r="D20" s="431"/>
      <c r="E20" s="431"/>
      <c r="F20" s="431"/>
      <c r="G20" s="431"/>
    </row>
    <row r="21" spans="1:7" ht="16.5" customHeight="1" x14ac:dyDescent="0.3">
      <c r="A21" s="429" t="s">
        <v>10</v>
      </c>
      <c r="B21" s="434">
        <f>B20/100</f>
        <v>0.16739999999999999</v>
      </c>
      <c r="C21" s="431"/>
      <c r="D21" s="431"/>
      <c r="E21" s="431"/>
      <c r="F21" s="431"/>
      <c r="G21" s="431"/>
    </row>
    <row r="22" spans="1:7" ht="15.75" customHeight="1" x14ac:dyDescent="0.25">
      <c r="A22" s="431"/>
      <c r="B22" s="431"/>
      <c r="C22" s="431"/>
      <c r="D22" s="431"/>
      <c r="E22" s="431"/>
      <c r="F22" s="431"/>
      <c r="G22" s="431"/>
    </row>
    <row r="23" spans="1:7" ht="16.5" customHeight="1" x14ac:dyDescent="0.3">
      <c r="A23" s="435" t="s">
        <v>13</v>
      </c>
      <c r="B23" s="436" t="s">
        <v>14</v>
      </c>
      <c r="C23" s="435" t="s">
        <v>15</v>
      </c>
      <c r="D23" s="435" t="s">
        <v>16</v>
      </c>
      <c r="E23" s="435" t="s">
        <v>142</v>
      </c>
      <c r="F23" s="435" t="s">
        <v>134</v>
      </c>
      <c r="G23" s="435" t="s">
        <v>17</v>
      </c>
    </row>
    <row r="24" spans="1:7" ht="16.5" customHeight="1" x14ac:dyDescent="0.3">
      <c r="A24" s="437">
        <v>1</v>
      </c>
      <c r="B24" s="438">
        <v>2555853</v>
      </c>
      <c r="C24" s="438">
        <v>6924</v>
      </c>
      <c r="D24" s="439">
        <v>1.1000000000000001</v>
      </c>
      <c r="E24" s="439">
        <v>11.7</v>
      </c>
      <c r="F24" s="439">
        <f t="shared" ref="F24:F29" si="0">5.5/3</f>
        <v>1.8333333333333333</v>
      </c>
      <c r="G24" s="440">
        <v>5.5</v>
      </c>
    </row>
    <row r="25" spans="1:7" ht="16.5" customHeight="1" x14ac:dyDescent="0.3">
      <c r="A25" s="437">
        <v>2</v>
      </c>
      <c r="B25" s="438">
        <v>2557335</v>
      </c>
      <c r="C25" s="438">
        <v>6990</v>
      </c>
      <c r="D25" s="439">
        <v>1.1000000000000001</v>
      </c>
      <c r="E25" s="439">
        <v>11.8</v>
      </c>
      <c r="F25" s="439">
        <f t="shared" si="0"/>
        <v>1.8333333333333333</v>
      </c>
      <c r="G25" s="439">
        <v>5.5</v>
      </c>
    </row>
    <row r="26" spans="1:7" ht="16.5" customHeight="1" x14ac:dyDescent="0.3">
      <c r="A26" s="437">
        <v>3</v>
      </c>
      <c r="B26" s="438">
        <v>2560476</v>
      </c>
      <c r="C26" s="438">
        <v>6962</v>
      </c>
      <c r="D26" s="439">
        <v>1.1000000000000001</v>
      </c>
      <c r="E26" s="439">
        <v>11.7</v>
      </c>
      <c r="F26" s="439">
        <f t="shared" si="0"/>
        <v>1.8333333333333333</v>
      </c>
      <c r="G26" s="439">
        <v>5.5</v>
      </c>
    </row>
    <row r="27" spans="1:7" ht="16.5" customHeight="1" x14ac:dyDescent="0.3">
      <c r="A27" s="437">
        <v>4</v>
      </c>
      <c r="B27" s="438">
        <v>2561087</v>
      </c>
      <c r="C27" s="438">
        <v>7122</v>
      </c>
      <c r="D27" s="439">
        <v>1.1000000000000001</v>
      </c>
      <c r="E27" s="439">
        <v>11.9</v>
      </c>
      <c r="F27" s="439">
        <f t="shared" si="0"/>
        <v>1.8333333333333333</v>
      </c>
      <c r="G27" s="439">
        <v>5.5</v>
      </c>
    </row>
    <row r="28" spans="1:7" ht="16.5" customHeight="1" x14ac:dyDescent="0.3">
      <c r="A28" s="437">
        <v>5</v>
      </c>
      <c r="B28" s="438">
        <v>2558201</v>
      </c>
      <c r="C28" s="438">
        <v>7128</v>
      </c>
      <c r="D28" s="439">
        <v>1.1000000000000001</v>
      </c>
      <c r="E28" s="439">
        <v>11.9</v>
      </c>
      <c r="F28" s="439">
        <f t="shared" si="0"/>
        <v>1.8333333333333333</v>
      </c>
      <c r="G28" s="439">
        <v>5.5</v>
      </c>
    </row>
    <row r="29" spans="1:7" ht="16.5" customHeight="1" x14ac:dyDescent="0.3">
      <c r="A29" s="437">
        <v>6</v>
      </c>
      <c r="B29" s="441">
        <v>2560228</v>
      </c>
      <c r="C29" s="441">
        <v>7164</v>
      </c>
      <c r="D29" s="442">
        <v>1.1000000000000001</v>
      </c>
      <c r="E29" s="442">
        <v>11.9</v>
      </c>
      <c r="F29" s="442">
        <f t="shared" si="0"/>
        <v>1.8333333333333333</v>
      </c>
      <c r="G29" s="442">
        <v>5.5</v>
      </c>
    </row>
    <row r="30" spans="1:7" ht="16.5" customHeight="1" x14ac:dyDescent="0.3">
      <c r="A30" s="443" t="s">
        <v>18</v>
      </c>
      <c r="B30" s="444">
        <f t="shared" ref="B30:G30" si="1">AVERAGE(B24:B29)</f>
        <v>2558863.3333333335</v>
      </c>
      <c r="C30" s="445">
        <f t="shared" si="1"/>
        <v>7048.333333333333</v>
      </c>
      <c r="D30" s="446">
        <f t="shared" si="1"/>
        <v>1.0999999999999999</v>
      </c>
      <c r="E30" s="446">
        <f t="shared" si="1"/>
        <v>11.816666666666668</v>
      </c>
      <c r="F30" s="446">
        <f t="shared" si="1"/>
        <v>1.8333333333333333</v>
      </c>
      <c r="G30" s="446">
        <f t="shared" si="1"/>
        <v>5.5</v>
      </c>
    </row>
    <row r="31" spans="1:7" ht="16.5" customHeight="1" x14ac:dyDescent="0.3">
      <c r="A31" s="447" t="s">
        <v>19</v>
      </c>
      <c r="B31" s="448">
        <f>(STDEV(B24:B29)/B30)</f>
        <v>8.0554367536222863E-4</v>
      </c>
      <c r="C31" s="449"/>
      <c r="D31" s="449"/>
      <c r="E31" s="449"/>
      <c r="F31" s="449"/>
      <c r="G31" s="450"/>
    </row>
    <row r="32" spans="1:7" s="425" customFormat="1" ht="16.5" customHeight="1" x14ac:dyDescent="0.3">
      <c r="A32" s="451" t="s">
        <v>20</v>
      </c>
      <c r="B32" s="452">
        <f>COUNT(B24:B29)</f>
        <v>6</v>
      </c>
      <c r="C32" s="453"/>
      <c r="D32" s="454"/>
      <c r="E32" s="454"/>
      <c r="F32" s="454"/>
      <c r="G32" s="455"/>
    </row>
    <row r="33" spans="1:7" s="425" customFormat="1" ht="15.75" customHeight="1" x14ac:dyDescent="0.25">
      <c r="A33" s="431"/>
      <c r="B33" s="431"/>
      <c r="C33" s="431"/>
      <c r="D33" s="431"/>
      <c r="E33" s="431"/>
      <c r="F33" s="431"/>
      <c r="G33" s="431"/>
    </row>
    <row r="34" spans="1:7" s="425" customFormat="1" ht="16.5" customHeight="1" x14ac:dyDescent="0.3">
      <c r="A34" s="432" t="s">
        <v>21</v>
      </c>
      <c r="B34" s="456" t="s">
        <v>135</v>
      </c>
      <c r="C34" s="457"/>
      <c r="D34" s="457"/>
      <c r="E34" s="457"/>
      <c r="F34" s="457"/>
      <c r="G34" s="457"/>
    </row>
    <row r="35" spans="1:7" ht="16.5" customHeight="1" x14ac:dyDescent="0.3">
      <c r="A35" s="432"/>
      <c r="B35" s="456" t="s">
        <v>136</v>
      </c>
      <c r="C35" s="457"/>
      <c r="D35" s="457"/>
      <c r="E35" s="457"/>
      <c r="F35" s="457"/>
      <c r="G35" s="457"/>
    </row>
    <row r="36" spans="1:7" ht="16.5" customHeight="1" x14ac:dyDescent="0.3">
      <c r="A36" s="432"/>
      <c r="B36" s="456" t="s">
        <v>137</v>
      </c>
      <c r="C36" s="457"/>
      <c r="D36" s="457"/>
      <c r="E36" s="457"/>
      <c r="F36" s="457"/>
      <c r="G36" s="457"/>
    </row>
    <row r="37" spans="1:7" ht="15.75" customHeight="1" x14ac:dyDescent="0.3">
      <c r="A37" s="431"/>
      <c r="B37" s="431" t="s">
        <v>138</v>
      </c>
      <c r="C37" s="431"/>
      <c r="D37" s="431"/>
      <c r="E37" s="431"/>
      <c r="F37" s="431"/>
      <c r="G37" s="431"/>
    </row>
    <row r="38" spans="1:7" ht="16.5" customHeight="1" x14ac:dyDescent="0.3">
      <c r="A38" s="427" t="s">
        <v>1</v>
      </c>
      <c r="B38" s="428" t="s">
        <v>22</v>
      </c>
    </row>
    <row r="39" spans="1:7" ht="16.5" customHeight="1" x14ac:dyDescent="0.3">
      <c r="A39" s="432" t="s">
        <v>4</v>
      </c>
      <c r="B39" s="429"/>
      <c r="C39" s="431"/>
      <c r="D39" s="431"/>
      <c r="E39" s="431"/>
      <c r="F39" s="431"/>
      <c r="G39" s="431"/>
    </row>
    <row r="40" spans="1:7" ht="16.5" customHeight="1" x14ac:dyDescent="0.3">
      <c r="A40" s="432" t="s">
        <v>6</v>
      </c>
      <c r="B40" s="433"/>
      <c r="C40" s="431"/>
      <c r="D40" s="431"/>
      <c r="E40" s="431"/>
      <c r="F40" s="431"/>
      <c r="G40" s="431"/>
    </row>
    <row r="41" spans="1:7" ht="16.5" customHeight="1" x14ac:dyDescent="0.3">
      <c r="A41" s="429" t="s">
        <v>8</v>
      </c>
      <c r="B41" s="433"/>
      <c r="C41" s="431"/>
      <c r="D41" s="431"/>
      <c r="E41" s="431"/>
      <c r="F41" s="431"/>
      <c r="G41" s="431"/>
    </row>
    <row r="42" spans="1:7" ht="16.5" customHeight="1" x14ac:dyDescent="0.3">
      <c r="A42" s="429" t="s">
        <v>10</v>
      </c>
      <c r="B42" s="434"/>
      <c r="C42" s="431"/>
      <c r="D42" s="431"/>
      <c r="E42" s="431"/>
      <c r="F42" s="431"/>
      <c r="G42" s="431"/>
    </row>
    <row r="43" spans="1:7" ht="15.75" customHeight="1" x14ac:dyDescent="0.25">
      <c r="A43" s="431"/>
      <c r="B43" s="431"/>
      <c r="C43" s="431"/>
      <c r="D43" s="431"/>
      <c r="E43" s="431"/>
      <c r="F43" s="431"/>
      <c r="G43" s="431"/>
    </row>
    <row r="44" spans="1:7" ht="16.5" customHeight="1" x14ac:dyDescent="0.3">
      <c r="A44" s="435" t="s">
        <v>13</v>
      </c>
      <c r="B44" s="436" t="s">
        <v>14</v>
      </c>
      <c r="C44" s="435" t="s">
        <v>15</v>
      </c>
      <c r="D44" s="435" t="s">
        <v>16</v>
      </c>
      <c r="E44" s="435" t="s">
        <v>142</v>
      </c>
      <c r="F44" s="435" t="s">
        <v>134</v>
      </c>
      <c r="G44" s="435" t="s">
        <v>17</v>
      </c>
    </row>
    <row r="45" spans="1:7" ht="16.5" customHeight="1" x14ac:dyDescent="0.3">
      <c r="A45" s="437">
        <v>1</v>
      </c>
      <c r="B45" s="438"/>
      <c r="C45" s="438"/>
      <c r="D45" s="439"/>
      <c r="E45" s="439"/>
      <c r="F45" s="439"/>
      <c r="G45" s="440"/>
    </row>
    <row r="46" spans="1:7" ht="16.5" customHeight="1" x14ac:dyDescent="0.3">
      <c r="A46" s="437">
        <v>2</v>
      </c>
      <c r="B46" s="438"/>
      <c r="C46" s="438"/>
      <c r="D46" s="439"/>
      <c r="E46" s="439"/>
      <c r="F46" s="439"/>
      <c r="G46" s="439"/>
    </row>
    <row r="47" spans="1:7" ht="16.5" customHeight="1" x14ac:dyDescent="0.3">
      <c r="A47" s="437">
        <v>3</v>
      </c>
      <c r="B47" s="438"/>
      <c r="C47" s="438"/>
      <c r="D47" s="439"/>
      <c r="E47" s="439"/>
      <c r="F47" s="439"/>
      <c r="G47" s="439"/>
    </row>
    <row r="48" spans="1:7" ht="16.5" customHeight="1" x14ac:dyDescent="0.3">
      <c r="A48" s="437">
        <v>4</v>
      </c>
      <c r="B48" s="438"/>
      <c r="C48" s="438"/>
      <c r="D48" s="439"/>
      <c r="E48" s="439"/>
      <c r="F48" s="439"/>
      <c r="G48" s="439"/>
    </row>
    <row r="49" spans="1:9" ht="16.5" customHeight="1" x14ac:dyDescent="0.3">
      <c r="A49" s="437">
        <v>5</v>
      </c>
      <c r="B49" s="438"/>
      <c r="C49" s="438"/>
      <c r="D49" s="439"/>
      <c r="E49" s="439"/>
      <c r="F49" s="439"/>
      <c r="G49" s="439"/>
    </row>
    <row r="50" spans="1:9" ht="16.5" customHeight="1" x14ac:dyDescent="0.3">
      <c r="A50" s="437">
        <v>6</v>
      </c>
      <c r="B50" s="441"/>
      <c r="C50" s="441"/>
      <c r="D50" s="442"/>
      <c r="E50" s="442"/>
      <c r="F50" s="442"/>
      <c r="G50" s="442"/>
    </row>
    <row r="51" spans="1:9" ht="16.5" customHeight="1" x14ac:dyDescent="0.3">
      <c r="A51" s="443" t="s">
        <v>18</v>
      </c>
      <c r="B51" s="444" t="e">
        <f t="shared" ref="B51:G51" si="2">AVERAGE(B45:B50)</f>
        <v>#DIV/0!</v>
      </c>
      <c r="C51" s="445" t="e">
        <f t="shared" si="2"/>
        <v>#DIV/0!</v>
      </c>
      <c r="D51" s="446" t="e">
        <f t="shared" si="2"/>
        <v>#DIV/0!</v>
      </c>
      <c r="E51" s="446" t="e">
        <f t="shared" si="2"/>
        <v>#DIV/0!</v>
      </c>
      <c r="F51" s="446" t="e">
        <f t="shared" si="2"/>
        <v>#DIV/0!</v>
      </c>
      <c r="G51" s="446" t="e">
        <f t="shared" si="2"/>
        <v>#DIV/0!</v>
      </c>
    </row>
    <row r="52" spans="1:9" ht="16.5" customHeight="1" x14ac:dyDescent="0.3">
      <c r="A52" s="447" t="s">
        <v>19</v>
      </c>
      <c r="B52" s="448" t="e">
        <f>(STDEV(B45:B50)/B51)</f>
        <v>#DIV/0!</v>
      </c>
      <c r="C52" s="449"/>
      <c r="D52" s="449"/>
      <c r="E52" s="449"/>
      <c r="F52" s="449"/>
      <c r="G52" s="450"/>
    </row>
    <row r="53" spans="1:9" s="425" customFormat="1" ht="16.5" customHeight="1" x14ac:dyDescent="0.3">
      <c r="A53" s="451" t="s">
        <v>20</v>
      </c>
      <c r="B53" s="452">
        <f>COUNT(B45:B50)</f>
        <v>0</v>
      </c>
      <c r="C53" s="453"/>
      <c r="D53" s="454"/>
      <c r="E53" s="454"/>
      <c r="F53" s="454"/>
      <c r="G53" s="455"/>
    </row>
    <row r="54" spans="1:9" s="425" customFormat="1" ht="15.75" customHeight="1" x14ac:dyDescent="0.25">
      <c r="A54" s="431"/>
      <c r="B54" s="431"/>
      <c r="C54" s="431"/>
      <c r="D54" s="431"/>
      <c r="E54" s="431"/>
      <c r="F54" s="431"/>
      <c r="G54" s="431"/>
    </row>
    <row r="55" spans="1:9" s="425" customFormat="1" ht="16.5" customHeight="1" x14ac:dyDescent="0.3">
      <c r="A55" s="432" t="s">
        <v>21</v>
      </c>
      <c r="B55" s="456" t="s">
        <v>135</v>
      </c>
      <c r="C55" s="457"/>
      <c r="D55" s="457"/>
      <c r="E55" s="457"/>
      <c r="F55" s="457"/>
      <c r="G55" s="457"/>
    </row>
    <row r="56" spans="1:9" ht="16.5" customHeight="1" x14ac:dyDescent="0.3">
      <c r="A56" s="432"/>
      <c r="B56" s="456" t="s">
        <v>136</v>
      </c>
      <c r="C56" s="457"/>
      <c r="D56" s="457"/>
      <c r="E56" s="457"/>
      <c r="F56" s="457"/>
      <c r="G56" s="457"/>
    </row>
    <row r="57" spans="1:9" ht="16.5" customHeight="1" x14ac:dyDescent="0.3">
      <c r="A57" s="432"/>
      <c r="B57" s="456" t="s">
        <v>137</v>
      </c>
      <c r="C57" s="457"/>
      <c r="D57" s="457"/>
      <c r="E57" s="457"/>
      <c r="F57" s="457"/>
      <c r="G57" s="457"/>
    </row>
    <row r="58" spans="1:9" ht="14.25" customHeight="1" thickBot="1" x14ac:dyDescent="0.35">
      <c r="A58" s="458"/>
      <c r="B58" s="431" t="s">
        <v>138</v>
      </c>
      <c r="D58" s="459"/>
      <c r="E58" s="460"/>
      <c r="F58" s="460"/>
      <c r="H58" s="461"/>
      <c r="I58" s="461"/>
    </row>
    <row r="59" spans="1:9" ht="15" customHeight="1" x14ac:dyDescent="0.3">
      <c r="B59" s="469" t="s">
        <v>23</v>
      </c>
      <c r="C59" s="469"/>
      <c r="G59" s="462" t="s">
        <v>24</v>
      </c>
      <c r="H59" s="463"/>
      <c r="I59" s="462" t="s">
        <v>25</v>
      </c>
    </row>
    <row r="60" spans="1:9" ht="15" customHeight="1" x14ac:dyDescent="0.3">
      <c r="A60" s="464" t="s">
        <v>26</v>
      </c>
      <c r="B60" s="465" t="s">
        <v>143</v>
      </c>
      <c r="C60" s="465"/>
      <c r="G60" s="465" t="s">
        <v>140</v>
      </c>
      <c r="I60" s="465"/>
    </row>
    <row r="61" spans="1:9" ht="15" customHeight="1" x14ac:dyDescent="0.3">
      <c r="A61" s="464" t="s">
        <v>27</v>
      </c>
      <c r="B61" s="466"/>
      <c r="C61" s="466"/>
      <c r="G61" s="466"/>
      <c r="I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59:C59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2" sqref="C2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3" t="s">
        <v>28</v>
      </c>
      <c r="B11" s="474"/>
      <c r="C11" s="474"/>
      <c r="D11" s="474"/>
      <c r="E11" s="474"/>
      <c r="F11" s="475"/>
      <c r="G11" s="43"/>
    </row>
    <row r="12" spans="1:7" ht="16.5" customHeight="1" x14ac:dyDescent="0.3">
      <c r="A12" s="472" t="s">
        <v>29</v>
      </c>
      <c r="B12" s="472"/>
      <c r="C12" s="472"/>
      <c r="D12" s="472"/>
      <c r="E12" s="472"/>
      <c r="F12" s="472"/>
      <c r="G12" s="42"/>
    </row>
    <row r="14" spans="1:7" ht="16.5" customHeight="1" x14ac:dyDescent="0.3">
      <c r="A14" s="477" t="s">
        <v>30</v>
      </c>
      <c r="B14" s="477"/>
      <c r="C14" s="12" t="s">
        <v>5</v>
      </c>
    </row>
    <row r="15" spans="1:7" ht="16.5" customHeight="1" x14ac:dyDescent="0.3">
      <c r="A15" s="477" t="s">
        <v>31</v>
      </c>
      <c r="B15" s="477"/>
      <c r="C15" s="12" t="s">
        <v>7</v>
      </c>
    </row>
    <row r="16" spans="1:7" ht="16.5" customHeight="1" x14ac:dyDescent="0.3">
      <c r="A16" s="477" t="s">
        <v>32</v>
      </c>
      <c r="B16" s="477"/>
      <c r="C16" s="12" t="s">
        <v>9</v>
      </c>
    </row>
    <row r="17" spans="1:5" ht="16.5" customHeight="1" x14ac:dyDescent="0.3">
      <c r="A17" s="477" t="s">
        <v>33</v>
      </c>
      <c r="B17" s="477"/>
      <c r="C17" s="12" t="s">
        <v>11</v>
      </c>
    </row>
    <row r="18" spans="1:5" ht="16.5" customHeight="1" x14ac:dyDescent="0.3">
      <c r="A18" s="477" t="s">
        <v>34</v>
      </c>
      <c r="B18" s="477"/>
      <c r="C18" s="49" t="s">
        <v>12</v>
      </c>
    </row>
    <row r="19" spans="1:5" ht="16.5" customHeight="1" x14ac:dyDescent="0.3">
      <c r="A19" s="477" t="s">
        <v>35</v>
      </c>
      <c r="B19" s="47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2" t="s">
        <v>1</v>
      </c>
      <c r="B21" s="472"/>
      <c r="C21" s="11" t="s">
        <v>36</v>
      </c>
      <c r="D21" s="18"/>
    </row>
    <row r="22" spans="1:5" ht="15.75" customHeight="1" x14ac:dyDescent="0.3">
      <c r="A22" s="476"/>
      <c r="B22" s="476"/>
      <c r="C22" s="9"/>
      <c r="D22" s="476"/>
      <c r="E22" s="476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1057.25</v>
      </c>
      <c r="D24" s="39">
        <f t="shared" ref="D24:D43" si="0">(C24-$C$46)/$C$46</f>
        <v>1.1767993393004304E-2</v>
      </c>
      <c r="E24" s="5"/>
    </row>
    <row r="25" spans="1:5" ht="15.75" customHeight="1" x14ac:dyDescent="0.3">
      <c r="C25" s="47">
        <v>1040.4100000000001</v>
      </c>
      <c r="D25" s="40">
        <f t="shared" si="0"/>
        <v>-4.3475639574219061E-3</v>
      </c>
      <c r="E25" s="5"/>
    </row>
    <row r="26" spans="1:5" ht="15.75" customHeight="1" x14ac:dyDescent="0.3">
      <c r="C26" s="47">
        <v>1046.8599999999999</v>
      </c>
      <c r="D26" s="40">
        <f t="shared" si="0"/>
        <v>1.8249624624264685E-3</v>
      </c>
      <c r="E26" s="5"/>
    </row>
    <row r="27" spans="1:5" ht="15.75" customHeight="1" x14ac:dyDescent="0.3">
      <c r="C27" s="47">
        <v>1046.6300000000001</v>
      </c>
      <c r="D27" s="40">
        <f t="shared" si="0"/>
        <v>1.6048568691607514E-3</v>
      </c>
      <c r="E27" s="5"/>
    </row>
    <row r="28" spans="1:5" ht="15.75" customHeight="1" x14ac:dyDescent="0.3">
      <c r="C28" s="47">
        <v>1066.92</v>
      </c>
      <c r="D28" s="40">
        <f t="shared" si="0"/>
        <v>2.1021998118575764E-2</v>
      </c>
      <c r="E28" s="5"/>
    </row>
    <row r="29" spans="1:5" ht="15.75" customHeight="1" x14ac:dyDescent="0.3">
      <c r="C29" s="47">
        <v>1028.82</v>
      </c>
      <c r="D29" s="40">
        <f t="shared" si="0"/>
        <v>-1.54389718963437E-2</v>
      </c>
      <c r="E29" s="5"/>
    </row>
    <row r="30" spans="1:5" ht="15.75" customHeight="1" x14ac:dyDescent="0.3">
      <c r="C30" s="47">
        <v>1055.5</v>
      </c>
      <c r="D30" s="40">
        <f t="shared" si="0"/>
        <v>1.009327692250276E-2</v>
      </c>
      <c r="E30" s="5"/>
    </row>
    <row r="31" spans="1:5" ht="15.75" customHeight="1" x14ac:dyDescent="0.3">
      <c r="C31" s="47">
        <v>1049.3</v>
      </c>
      <c r="D31" s="40">
        <f t="shared" si="0"/>
        <v>4.1599957127258164E-3</v>
      </c>
      <c r="E31" s="5"/>
    </row>
    <row r="32" spans="1:5" ht="15.75" customHeight="1" x14ac:dyDescent="0.3">
      <c r="C32" s="47">
        <v>1037.58</v>
      </c>
      <c r="D32" s="40">
        <f t="shared" si="0"/>
        <v>-7.055819735433122E-3</v>
      </c>
      <c r="E32" s="5"/>
    </row>
    <row r="33" spans="1:7" ht="15.75" customHeight="1" x14ac:dyDescent="0.3">
      <c r="C33" s="47">
        <v>1042.17</v>
      </c>
      <c r="D33" s="40">
        <f t="shared" si="0"/>
        <v>-2.6632776785175043E-3</v>
      </c>
      <c r="E33" s="5"/>
    </row>
    <row r="34" spans="1:7" ht="15.75" customHeight="1" x14ac:dyDescent="0.3">
      <c r="C34" s="47">
        <v>1050.04</v>
      </c>
      <c r="D34" s="40">
        <f t="shared" si="0"/>
        <v>4.8681615345379063E-3</v>
      </c>
      <c r="E34" s="5"/>
    </row>
    <row r="35" spans="1:7" ht="15.75" customHeight="1" x14ac:dyDescent="0.3">
      <c r="C35" s="47">
        <v>1056.44</v>
      </c>
      <c r="D35" s="40">
        <f t="shared" si="0"/>
        <v>1.0992838912372212E-2</v>
      </c>
      <c r="E35" s="5"/>
    </row>
    <row r="36" spans="1:7" ht="15.75" customHeight="1" x14ac:dyDescent="0.3">
      <c r="C36" s="47">
        <v>1055.3900000000001</v>
      </c>
      <c r="D36" s="40">
        <f t="shared" si="0"/>
        <v>9.9880090300713299E-3</v>
      </c>
      <c r="E36" s="5"/>
    </row>
    <row r="37" spans="1:7" ht="15.75" customHeight="1" x14ac:dyDescent="0.3">
      <c r="C37" s="47">
        <v>1052.26</v>
      </c>
      <c r="D37" s="40">
        <f t="shared" si="0"/>
        <v>6.9926589999741769E-3</v>
      </c>
      <c r="E37" s="5"/>
    </row>
    <row r="38" spans="1:7" ht="15.75" customHeight="1" x14ac:dyDescent="0.3">
      <c r="C38" s="47">
        <v>1029.75</v>
      </c>
      <c r="D38" s="40">
        <f t="shared" si="0"/>
        <v>-1.4548979714877104E-2</v>
      </c>
      <c r="E38" s="5"/>
    </row>
    <row r="39" spans="1:7" ht="15.75" customHeight="1" x14ac:dyDescent="0.3">
      <c r="C39" s="47">
        <v>1009.28</v>
      </c>
      <c r="D39" s="40">
        <f t="shared" si="0"/>
        <v>-3.4138377515543765E-2</v>
      </c>
      <c r="E39" s="5"/>
    </row>
    <row r="40" spans="1:7" ht="15.75" customHeight="1" x14ac:dyDescent="0.3">
      <c r="C40" s="47">
        <v>1034.02</v>
      </c>
      <c r="D40" s="40">
        <f t="shared" si="0"/>
        <v>-1.0462671526853354E-2</v>
      </c>
      <c r="E40" s="5"/>
    </row>
    <row r="41" spans="1:7" ht="15.75" customHeight="1" x14ac:dyDescent="0.3">
      <c r="C41" s="47">
        <v>1015.61</v>
      </c>
      <c r="D41" s="40">
        <f t="shared" si="0"/>
        <v>-2.8080688796529567E-2</v>
      </c>
      <c r="E41" s="5"/>
    </row>
    <row r="42" spans="1:7" ht="15.75" customHeight="1" x14ac:dyDescent="0.3">
      <c r="C42" s="47">
        <v>1067.4000000000001</v>
      </c>
      <c r="D42" s="40">
        <f t="shared" si="0"/>
        <v>2.1481348921913345E-2</v>
      </c>
      <c r="E42" s="5"/>
    </row>
    <row r="43" spans="1:7" ht="16.5" customHeight="1" x14ac:dyDescent="0.3">
      <c r="C43" s="48">
        <v>1057.43</v>
      </c>
      <c r="D43" s="41">
        <f t="shared" si="0"/>
        <v>1.1940249944255951E-2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20899.060000000001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1044.953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70">
        <f>C46</f>
        <v>1044.953</v>
      </c>
      <c r="C49" s="45">
        <f>-IF(C46&lt;=80,10%,IF(C46&lt;250,7.5%,5%))</f>
        <v>-0.05</v>
      </c>
      <c r="D49" s="33">
        <f>IF(C46&lt;=80,C46*0.9,IF(C46&lt;250,C46*0.925,C46*0.95))</f>
        <v>992.70534999999995</v>
      </c>
    </row>
    <row r="50" spans="1:6" ht="17.25" customHeight="1" x14ac:dyDescent="0.3">
      <c r="B50" s="471"/>
      <c r="C50" s="46">
        <f>IF(C46&lt;=80, 10%, IF(C46&lt;250, 7.5%, 5%))</f>
        <v>0.05</v>
      </c>
      <c r="D50" s="33">
        <f>IF(C46&lt;=80, C46*1.1, IF(C46&lt;250, C46*1.075, C46*1.05))</f>
        <v>1097.20065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9" zoomScale="50" zoomScaleNormal="40" zoomScalePageLayoutView="50" workbookViewId="0">
      <selection activeCell="B19" sqref="B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8" t="s">
        <v>42</v>
      </c>
      <c r="B1" s="508"/>
      <c r="C1" s="508"/>
      <c r="D1" s="508"/>
      <c r="E1" s="508"/>
      <c r="F1" s="508"/>
      <c r="G1" s="508"/>
      <c r="H1" s="508"/>
      <c r="I1" s="508"/>
    </row>
    <row r="2" spans="1:9" ht="18.75" customHeight="1" x14ac:dyDescent="0.25">
      <c r="A2" s="508"/>
      <c r="B2" s="508"/>
      <c r="C2" s="508"/>
      <c r="D2" s="508"/>
      <c r="E2" s="508"/>
      <c r="F2" s="508"/>
      <c r="G2" s="508"/>
      <c r="H2" s="508"/>
      <c r="I2" s="508"/>
    </row>
    <row r="3" spans="1:9" ht="18.75" customHeight="1" x14ac:dyDescent="0.25">
      <c r="A3" s="508"/>
      <c r="B3" s="508"/>
      <c r="C3" s="508"/>
      <c r="D3" s="508"/>
      <c r="E3" s="508"/>
      <c r="F3" s="508"/>
      <c r="G3" s="508"/>
      <c r="H3" s="508"/>
      <c r="I3" s="508"/>
    </row>
    <row r="4" spans="1:9" ht="18.75" customHeight="1" x14ac:dyDescent="0.25">
      <c r="A4" s="508"/>
      <c r="B4" s="508"/>
      <c r="C4" s="508"/>
      <c r="D4" s="508"/>
      <c r="E4" s="508"/>
      <c r="F4" s="508"/>
      <c r="G4" s="508"/>
      <c r="H4" s="508"/>
      <c r="I4" s="508"/>
    </row>
    <row r="5" spans="1:9" ht="18.75" customHeight="1" x14ac:dyDescent="0.25">
      <c r="A5" s="508"/>
      <c r="B5" s="508"/>
      <c r="C5" s="508"/>
      <c r="D5" s="508"/>
      <c r="E5" s="508"/>
      <c r="F5" s="508"/>
      <c r="G5" s="508"/>
      <c r="H5" s="508"/>
      <c r="I5" s="508"/>
    </row>
    <row r="6" spans="1:9" ht="18.75" customHeight="1" x14ac:dyDescent="0.25">
      <c r="A6" s="508"/>
      <c r="B6" s="508"/>
      <c r="C6" s="508"/>
      <c r="D6" s="508"/>
      <c r="E6" s="508"/>
      <c r="F6" s="508"/>
      <c r="G6" s="508"/>
      <c r="H6" s="508"/>
      <c r="I6" s="508"/>
    </row>
    <row r="7" spans="1:9" ht="18.75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x14ac:dyDescent="0.25">
      <c r="A8" s="509" t="s">
        <v>43</v>
      </c>
      <c r="B8" s="509"/>
      <c r="C8" s="509"/>
      <c r="D8" s="509"/>
      <c r="E8" s="509"/>
      <c r="F8" s="509"/>
      <c r="G8" s="509"/>
      <c r="H8" s="509"/>
      <c r="I8" s="509"/>
    </row>
    <row r="9" spans="1:9" x14ac:dyDescent="0.25">
      <c r="A9" s="509"/>
      <c r="B9" s="509"/>
      <c r="C9" s="509"/>
      <c r="D9" s="509"/>
      <c r="E9" s="509"/>
      <c r="F9" s="509"/>
      <c r="G9" s="509"/>
      <c r="H9" s="509"/>
      <c r="I9" s="509"/>
    </row>
    <row r="10" spans="1:9" x14ac:dyDescent="0.25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 x14ac:dyDescent="0.25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 x14ac:dyDescent="0.25">
      <c r="A12" s="509"/>
      <c r="B12" s="509"/>
      <c r="C12" s="509"/>
      <c r="D12" s="509"/>
      <c r="E12" s="509"/>
      <c r="F12" s="509"/>
      <c r="G12" s="509"/>
      <c r="H12" s="509"/>
      <c r="I12" s="509"/>
    </row>
    <row r="13" spans="1:9" x14ac:dyDescent="0.25">
      <c r="A13" s="509"/>
      <c r="B13" s="509"/>
      <c r="C13" s="509"/>
      <c r="D13" s="509"/>
      <c r="E13" s="509"/>
      <c r="F13" s="509"/>
      <c r="G13" s="509"/>
      <c r="H13" s="509"/>
      <c r="I13" s="509"/>
    </row>
    <row r="14" spans="1:9" x14ac:dyDescent="0.25">
      <c r="A14" s="509"/>
      <c r="B14" s="509"/>
      <c r="C14" s="509"/>
      <c r="D14" s="509"/>
      <c r="E14" s="509"/>
      <c r="F14" s="509"/>
      <c r="G14" s="509"/>
      <c r="H14" s="509"/>
      <c r="I14" s="509"/>
    </row>
    <row r="15" spans="1:9" ht="19.5" customHeight="1" x14ac:dyDescent="0.3">
      <c r="A15" s="50"/>
    </row>
    <row r="16" spans="1:9" ht="19.5" customHeight="1" x14ac:dyDescent="0.3">
      <c r="A16" s="481" t="s">
        <v>28</v>
      </c>
      <c r="B16" s="482"/>
      <c r="C16" s="482"/>
      <c r="D16" s="482"/>
      <c r="E16" s="482"/>
      <c r="F16" s="482"/>
      <c r="G16" s="482"/>
      <c r="H16" s="483"/>
    </row>
    <row r="17" spans="1:14" ht="20.25" customHeight="1" x14ac:dyDescent="0.25">
      <c r="A17" s="484" t="s">
        <v>44</v>
      </c>
      <c r="B17" s="484"/>
      <c r="C17" s="484"/>
      <c r="D17" s="484"/>
      <c r="E17" s="484"/>
      <c r="F17" s="484"/>
      <c r="G17" s="484"/>
      <c r="H17" s="484"/>
    </row>
    <row r="18" spans="1:14" ht="26.25" customHeight="1" x14ac:dyDescent="0.4">
      <c r="A18" s="52" t="s">
        <v>30</v>
      </c>
      <c r="B18" s="485" t="s">
        <v>5</v>
      </c>
      <c r="C18" s="485"/>
      <c r="D18" s="197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80" t="s">
        <v>130</v>
      </c>
      <c r="C20" s="480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80" t="s">
        <v>11</v>
      </c>
      <c r="C21" s="480"/>
      <c r="D21" s="480"/>
      <c r="E21" s="480"/>
      <c r="F21" s="480"/>
      <c r="G21" s="480"/>
      <c r="H21" s="480"/>
      <c r="I21" s="56"/>
    </row>
    <row r="22" spans="1:14" ht="26.25" customHeight="1" x14ac:dyDescent="0.4">
      <c r="A22" s="52" t="s">
        <v>34</v>
      </c>
      <c r="B22" s="57">
        <v>43322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244">
        <v>43325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0" t="s">
        <v>130</v>
      </c>
      <c r="C26" s="480"/>
    </row>
    <row r="27" spans="1:14" ht="26.25" customHeight="1" x14ac:dyDescent="0.4">
      <c r="A27" s="61" t="s">
        <v>45</v>
      </c>
      <c r="B27" s="486" t="s">
        <v>131</v>
      </c>
      <c r="C27" s="486"/>
    </row>
    <row r="28" spans="1:14" ht="27" customHeight="1" x14ac:dyDescent="0.4">
      <c r="A28" s="61" t="s">
        <v>6</v>
      </c>
      <c r="B28" s="62">
        <v>99.75</v>
      </c>
    </row>
    <row r="29" spans="1:14" s="3" customFormat="1" ht="27" customHeight="1" x14ac:dyDescent="0.4">
      <c r="A29" s="61" t="s">
        <v>46</v>
      </c>
      <c r="B29" s="63">
        <v>0</v>
      </c>
      <c r="C29" s="487" t="s">
        <v>47</v>
      </c>
      <c r="D29" s="488"/>
      <c r="E29" s="488"/>
      <c r="F29" s="488"/>
      <c r="G29" s="489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99.75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90" t="s">
        <v>50</v>
      </c>
      <c r="D31" s="491"/>
      <c r="E31" s="491"/>
      <c r="F31" s="491"/>
      <c r="G31" s="491"/>
      <c r="H31" s="492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90" t="s">
        <v>52</v>
      </c>
      <c r="D32" s="491"/>
      <c r="E32" s="491"/>
      <c r="F32" s="491"/>
      <c r="G32" s="491"/>
      <c r="H32" s="49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25</v>
      </c>
      <c r="C36" s="51"/>
      <c r="D36" s="493" t="s">
        <v>56</v>
      </c>
      <c r="E36" s="494"/>
      <c r="F36" s="493" t="s">
        <v>57</v>
      </c>
      <c r="G36" s="49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4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100</v>
      </c>
      <c r="C38" s="83">
        <v>1</v>
      </c>
      <c r="D38" s="271">
        <v>173232</v>
      </c>
      <c r="E38" s="84">
        <f>IF(ISBLANK(D38),"-",$D$48/$D$45*D38)</f>
        <v>174626.61177831457</v>
      </c>
      <c r="F38" s="271">
        <v>178721</v>
      </c>
      <c r="G38" s="85">
        <f>IF(ISBLANK(F38),"-",$D$48/$F$45*F38)</f>
        <v>175569.74258281666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7">
        <v>2</v>
      </c>
      <c r="D39" s="276">
        <v>172867</v>
      </c>
      <c r="E39" s="89">
        <f>IF(ISBLANK(D39),"-",$D$48/$D$45*D39)</f>
        <v>174258.67332988075</v>
      </c>
      <c r="F39" s="276">
        <v>177684</v>
      </c>
      <c r="G39" s="90">
        <f>IF(ISBLANK(F39),"-",$D$48/$F$45*F39)</f>
        <v>174551.02724965281</v>
      </c>
      <c r="I39" s="497">
        <f>ABS((F43/D43*D42)-F42)/D42</f>
        <v>2.901013821513651E-3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7">
        <v>3</v>
      </c>
      <c r="D40" s="276">
        <v>173512</v>
      </c>
      <c r="E40" s="89">
        <f>IF(ISBLANK(D40),"-",$D$48/$D$45*D40)</f>
        <v>174908.86593053775</v>
      </c>
      <c r="F40" s="276">
        <v>178298</v>
      </c>
      <c r="G40" s="90">
        <f>IF(ISBLANK(F40),"-",$D$48/$F$45*F40)</f>
        <v>175154.20103418763</v>
      </c>
      <c r="I40" s="497"/>
      <c r="L40" s="69"/>
      <c r="M40" s="69"/>
      <c r="N40" s="91"/>
    </row>
    <row r="41" spans="1:14" ht="27" customHeight="1" x14ac:dyDescent="0.4">
      <c r="A41" s="76" t="s">
        <v>66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67</v>
      </c>
      <c r="B42" s="77">
        <v>1</v>
      </c>
      <c r="C42" s="97" t="s">
        <v>68</v>
      </c>
      <c r="D42" s="98">
        <f>AVERAGE(D38:D41)</f>
        <v>173203.66666666666</v>
      </c>
      <c r="E42" s="99">
        <f>AVERAGE(E38:E41)</f>
        <v>174598.05034624436</v>
      </c>
      <c r="F42" s="98">
        <f>AVERAGE(F38:F41)</f>
        <v>178234.33333333334</v>
      </c>
      <c r="G42" s="100">
        <f>AVERAGE(G38:G41)</f>
        <v>175091.65695555237</v>
      </c>
      <c r="H42" s="101"/>
    </row>
    <row r="43" spans="1:14" ht="26.25" customHeight="1" x14ac:dyDescent="0.4">
      <c r="A43" s="76" t="s">
        <v>69</v>
      </c>
      <c r="B43" s="77">
        <v>1</v>
      </c>
      <c r="C43" s="102" t="s">
        <v>70</v>
      </c>
      <c r="D43" s="291">
        <v>19.89</v>
      </c>
      <c r="E43" s="91"/>
      <c r="F43" s="103">
        <v>20.41</v>
      </c>
      <c r="H43" s="101"/>
    </row>
    <row r="44" spans="1:14" ht="26.25" customHeight="1" x14ac:dyDescent="0.4">
      <c r="A44" s="76" t="s">
        <v>71</v>
      </c>
      <c r="B44" s="77">
        <v>1</v>
      </c>
      <c r="C44" s="104" t="s">
        <v>72</v>
      </c>
      <c r="D44" s="105">
        <f>D43*$B$34</f>
        <v>19.89</v>
      </c>
      <c r="E44" s="106"/>
      <c r="F44" s="105">
        <f>F43*$B$34</f>
        <v>20.41</v>
      </c>
      <c r="H44" s="101"/>
    </row>
    <row r="45" spans="1:14" ht="19.5" customHeight="1" x14ac:dyDescent="0.3">
      <c r="A45" s="76" t="s">
        <v>73</v>
      </c>
      <c r="B45" s="107">
        <f>(B44/B43)*(B42/B41)*(B40/B39)*(B38/B37)*B36</f>
        <v>625</v>
      </c>
      <c r="C45" s="104" t="s">
        <v>74</v>
      </c>
      <c r="D45" s="108">
        <f>D44*$B$30/100</f>
        <v>19.840275000000002</v>
      </c>
      <c r="E45" s="109"/>
      <c r="F45" s="108">
        <f>F44*$B$30/100</f>
        <v>20.358975000000001</v>
      </c>
      <c r="H45" s="101"/>
    </row>
    <row r="46" spans="1:14" ht="19.5" customHeight="1" x14ac:dyDescent="0.3">
      <c r="A46" s="498" t="s">
        <v>75</v>
      </c>
      <c r="B46" s="499"/>
      <c r="C46" s="104" t="s">
        <v>76</v>
      </c>
      <c r="D46" s="110">
        <f>D45/$B$45</f>
        <v>3.1744440000000006E-2</v>
      </c>
      <c r="E46" s="111"/>
      <c r="F46" s="112">
        <f>F45/$B$45</f>
        <v>3.2574360000000004E-2</v>
      </c>
      <c r="H46" s="101"/>
    </row>
    <row r="47" spans="1:14" ht="27" customHeight="1" x14ac:dyDescent="0.4">
      <c r="A47" s="500"/>
      <c r="B47" s="501"/>
      <c r="C47" s="113" t="s">
        <v>77</v>
      </c>
      <c r="D47" s="114">
        <v>3.2000000000000001E-2</v>
      </c>
      <c r="E47" s="115"/>
      <c r="F47" s="111"/>
      <c r="H47" s="101"/>
    </row>
    <row r="48" spans="1:14" ht="18.75" x14ac:dyDescent="0.3">
      <c r="C48" s="116" t="s">
        <v>78</v>
      </c>
      <c r="D48" s="108">
        <f>D47*$B$45</f>
        <v>20</v>
      </c>
      <c r="F48" s="117"/>
      <c r="H48" s="101"/>
    </row>
    <row r="49" spans="1:12" ht="19.5" customHeight="1" x14ac:dyDescent="0.3">
      <c r="C49" s="118" t="s">
        <v>79</v>
      </c>
      <c r="D49" s="119">
        <f>D48/B34</f>
        <v>20</v>
      </c>
      <c r="F49" s="117"/>
      <c r="H49" s="101"/>
    </row>
    <row r="50" spans="1:12" ht="18.75" x14ac:dyDescent="0.3">
      <c r="C50" s="74" t="s">
        <v>80</v>
      </c>
      <c r="D50" s="120">
        <f>AVERAGE(E38:E41,G38:G41)</f>
        <v>174844.85365089835</v>
      </c>
      <c r="F50" s="121"/>
      <c r="H50" s="101"/>
    </row>
    <row r="51" spans="1:12" ht="18.75" x14ac:dyDescent="0.3">
      <c r="C51" s="76" t="s">
        <v>81</v>
      </c>
      <c r="D51" s="122">
        <f>STDEV(E38:E41,G38:G41)/D50</f>
        <v>2.6860622342617987E-3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82</v>
      </c>
    </row>
    <row r="55" spans="1:12" ht="18.75" x14ac:dyDescent="0.3">
      <c r="A55" s="51" t="s">
        <v>83</v>
      </c>
      <c r="B55" s="127" t="str">
        <f>B21</f>
        <v>Each tablet contains: Sulphamethoxazole B.P 800 mg and Trimethoprim B.P 160 mg.</v>
      </c>
    </row>
    <row r="56" spans="1:12" ht="26.25" customHeight="1" x14ac:dyDescent="0.4">
      <c r="A56" s="128" t="s">
        <v>84</v>
      </c>
      <c r="B56" s="129">
        <v>160</v>
      </c>
      <c r="C56" s="51" t="str">
        <f>B20</f>
        <v>Trimethoprim</v>
      </c>
      <c r="H56" s="130"/>
    </row>
    <row r="57" spans="1:12" ht="18.75" x14ac:dyDescent="0.3">
      <c r="A57" s="127" t="s">
        <v>85</v>
      </c>
      <c r="B57" s="198">
        <f>Uniformity!C46</f>
        <v>1044.953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86</v>
      </c>
      <c r="B59" s="75">
        <v>100</v>
      </c>
      <c r="C59" s="51"/>
      <c r="D59" s="131" t="s">
        <v>87</v>
      </c>
      <c r="E59" s="132" t="s">
        <v>59</v>
      </c>
      <c r="F59" s="132" t="s">
        <v>60</v>
      </c>
      <c r="G59" s="132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502" t="s">
        <v>91</v>
      </c>
      <c r="D60" s="505">
        <v>216.65</v>
      </c>
      <c r="E60" s="133">
        <v>1</v>
      </c>
      <c r="F60" s="134">
        <v>189076</v>
      </c>
      <c r="G60" s="199">
        <f>IF(ISBLANK(F60),"-",(F60/$D$50*$D$47*$B$68)*($B$57/$D$60))</f>
        <v>166.90586359252472</v>
      </c>
      <c r="H60" s="217">
        <f t="shared" ref="H60:H71" si="0">IF(ISBLANK(F60),"-",(G60/$B$56)*100)</f>
        <v>104.31616474532794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503"/>
      <c r="D61" s="506"/>
      <c r="E61" s="135">
        <v>2</v>
      </c>
      <c r="F61" s="88">
        <v>189455</v>
      </c>
      <c r="G61" s="200">
        <f>IF(ISBLANK(F61),"-",(F61/$D$50*$D$47*$B$68)*($B$57/$D$60))</f>
        <v>167.24042388733511</v>
      </c>
      <c r="H61" s="218">
        <f t="shared" si="0"/>
        <v>104.52526492958445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503"/>
      <c r="D62" s="506"/>
      <c r="E62" s="135">
        <v>3</v>
      </c>
      <c r="F62" s="136">
        <v>189227</v>
      </c>
      <c r="G62" s="200">
        <f>IF(ISBLANK(F62),"-",(F62/$D$50*$D$47*$B$68)*($B$57/$D$60))</f>
        <v>167.03915806354416</v>
      </c>
      <c r="H62" s="218">
        <f t="shared" si="0"/>
        <v>104.3994737897151</v>
      </c>
      <c r="L62" s="64"/>
    </row>
    <row r="63" spans="1:12" ht="27" customHeight="1" x14ac:dyDescent="0.4">
      <c r="A63" s="76" t="s">
        <v>94</v>
      </c>
      <c r="B63" s="77">
        <v>1</v>
      </c>
      <c r="C63" s="504"/>
      <c r="D63" s="507"/>
      <c r="E63" s="137">
        <v>4</v>
      </c>
      <c r="F63" s="138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502" t="s">
        <v>96</v>
      </c>
      <c r="D64" s="505">
        <v>208.46</v>
      </c>
      <c r="E64" s="133">
        <v>1</v>
      </c>
      <c r="F64" s="134">
        <v>180154</v>
      </c>
      <c r="G64" s="199">
        <f>IF(ISBLANK(F64),"-",(F64/$D$50*$D$47*$B$68)*($B$57/$D$64))</f>
        <v>165.27800325711027</v>
      </c>
      <c r="H64" s="217">
        <f t="shared" si="0"/>
        <v>103.29875203569392</v>
      </c>
    </row>
    <row r="65" spans="1:8" ht="26.25" customHeight="1" x14ac:dyDescent="0.4">
      <c r="A65" s="76" t="s">
        <v>97</v>
      </c>
      <c r="B65" s="77">
        <v>1</v>
      </c>
      <c r="C65" s="503"/>
      <c r="D65" s="506"/>
      <c r="E65" s="135">
        <v>2</v>
      </c>
      <c r="F65" s="88">
        <v>180667</v>
      </c>
      <c r="G65" s="200">
        <f>IF(ISBLANK(F65),"-",(F65/$D$50*$D$47*$B$68)*($B$57/$D$64))</f>
        <v>165.74864290802503</v>
      </c>
      <c r="H65" s="218">
        <f t="shared" si="0"/>
        <v>103.59290181751564</v>
      </c>
    </row>
    <row r="66" spans="1:8" ht="26.25" customHeight="1" x14ac:dyDescent="0.4">
      <c r="A66" s="76" t="s">
        <v>98</v>
      </c>
      <c r="B66" s="77">
        <v>1</v>
      </c>
      <c r="C66" s="503"/>
      <c r="D66" s="506"/>
      <c r="E66" s="135">
        <v>3</v>
      </c>
      <c r="F66" s="88">
        <v>180913</v>
      </c>
      <c r="G66" s="200">
        <f>IF(ISBLANK(F66),"-",(F66/$D$50*$D$47*$B$68)*($B$57/$D$64))</f>
        <v>165.97432975817128</v>
      </c>
      <c r="H66" s="218">
        <f t="shared" si="0"/>
        <v>103.73395609885705</v>
      </c>
    </row>
    <row r="67" spans="1:8" ht="27" customHeight="1" x14ac:dyDescent="0.4">
      <c r="A67" s="76" t="s">
        <v>99</v>
      </c>
      <c r="B67" s="77">
        <v>1</v>
      </c>
      <c r="C67" s="504"/>
      <c r="D67" s="507"/>
      <c r="E67" s="137">
        <v>4</v>
      </c>
      <c r="F67" s="138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6" t="s">
        <v>100</v>
      </c>
      <c r="B68" s="139">
        <f>(B67/B66)*(B65/B64)*(B63/B62)*(B61/B60)*B59</f>
        <v>1000</v>
      </c>
      <c r="C68" s="502" t="s">
        <v>101</v>
      </c>
      <c r="D68" s="505">
        <v>211.04</v>
      </c>
      <c r="E68" s="133">
        <v>1</v>
      </c>
      <c r="F68" s="134">
        <v>183948</v>
      </c>
      <c r="G68" s="199">
        <f>IF(ISBLANK(F68),"-",(F68/$D$50*$D$47*$B$68)*($B$57/$D$68))</f>
        <v>166.69561421703594</v>
      </c>
      <c r="H68" s="218">
        <f t="shared" si="0"/>
        <v>104.18475888564747</v>
      </c>
    </row>
    <row r="69" spans="1:8" ht="27" customHeight="1" x14ac:dyDescent="0.4">
      <c r="A69" s="123" t="s">
        <v>102</v>
      </c>
      <c r="B69" s="140">
        <f>(D47*B68)/B56*B57</f>
        <v>208.9906</v>
      </c>
      <c r="C69" s="503"/>
      <c r="D69" s="506"/>
      <c r="E69" s="135">
        <v>2</v>
      </c>
      <c r="F69" s="88">
        <v>184896</v>
      </c>
      <c r="G69" s="200">
        <f>IF(ISBLANK(F69),"-",(F69/$D$50*$D$47*$B$68)*($B$57/$D$68))</f>
        <v>167.55470179764433</v>
      </c>
      <c r="H69" s="218">
        <f t="shared" si="0"/>
        <v>104.72168862352771</v>
      </c>
    </row>
    <row r="70" spans="1:8" ht="26.25" customHeight="1" x14ac:dyDescent="0.4">
      <c r="A70" s="515" t="s">
        <v>75</v>
      </c>
      <c r="B70" s="516"/>
      <c r="C70" s="503"/>
      <c r="D70" s="506"/>
      <c r="E70" s="135">
        <v>3</v>
      </c>
      <c r="F70" s="88">
        <v>184381</v>
      </c>
      <c r="G70" s="200">
        <f>IF(ISBLANK(F70),"-",(F70/$D$50*$D$47*$B$68)*($B$57/$D$68))</f>
        <v>167.08800337568937</v>
      </c>
      <c r="H70" s="218">
        <f t="shared" si="0"/>
        <v>104.43000210980587</v>
      </c>
    </row>
    <row r="71" spans="1:8" ht="27" customHeight="1" x14ac:dyDescent="0.4">
      <c r="A71" s="517"/>
      <c r="B71" s="518"/>
      <c r="C71" s="514"/>
      <c r="D71" s="507"/>
      <c r="E71" s="137">
        <v>4</v>
      </c>
      <c r="F71" s="138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3" t="s">
        <v>68</v>
      </c>
      <c r="G72" s="205">
        <f>AVERAGE(G60:G71)</f>
        <v>166.61386009523113</v>
      </c>
      <c r="H72" s="220">
        <f>AVERAGE(H60:H71)</f>
        <v>104.13366255951945</v>
      </c>
    </row>
    <row r="73" spans="1:8" ht="26.25" customHeight="1" x14ac:dyDescent="0.4">
      <c r="C73" s="141"/>
      <c r="D73" s="141"/>
      <c r="E73" s="141"/>
      <c r="F73" s="144" t="s">
        <v>81</v>
      </c>
      <c r="G73" s="204">
        <f>STDEV(G60:G71)/G72</f>
        <v>4.6089361470187246E-3</v>
      </c>
      <c r="H73" s="204">
        <f>STDEV(H60:H71)/H72</f>
        <v>4.6089361470187497E-3</v>
      </c>
    </row>
    <row r="74" spans="1:8" ht="27" customHeight="1" x14ac:dyDescent="0.4">
      <c r="A74" s="141"/>
      <c r="B74" s="141"/>
      <c r="C74" s="142"/>
      <c r="D74" s="142"/>
      <c r="E74" s="145"/>
      <c r="F74" s="146" t="s">
        <v>20</v>
      </c>
      <c r="G74" s="147">
        <f>COUNT(G60:G71)</f>
        <v>9</v>
      </c>
      <c r="H74" s="147">
        <f>COUNT(H60:H71)</f>
        <v>9</v>
      </c>
    </row>
    <row r="76" spans="1:8" ht="26.25" customHeight="1" x14ac:dyDescent="0.4">
      <c r="A76" s="60" t="s">
        <v>103</v>
      </c>
      <c r="B76" s="148" t="s">
        <v>104</v>
      </c>
      <c r="C76" s="510" t="str">
        <f>B26</f>
        <v>Trimethoprim</v>
      </c>
      <c r="D76" s="510"/>
      <c r="E76" s="149" t="s">
        <v>105</v>
      </c>
      <c r="F76" s="149"/>
      <c r="G76" s="236">
        <f>H72</f>
        <v>104.13366255951945</v>
      </c>
      <c r="H76" s="151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6" t="str">
        <f>B26</f>
        <v>Trimethoprim</v>
      </c>
      <c r="C79" s="496"/>
    </row>
    <row r="80" spans="1:8" ht="26.25" customHeight="1" x14ac:dyDescent="0.4">
      <c r="A80" s="61" t="s">
        <v>45</v>
      </c>
      <c r="B80" s="496" t="str">
        <f>B27</f>
        <v>T7-5</v>
      </c>
      <c r="C80" s="496"/>
    </row>
    <row r="81" spans="1:12" ht="27" customHeight="1" x14ac:dyDescent="0.4">
      <c r="A81" s="61" t="s">
        <v>6</v>
      </c>
      <c r="B81" s="152">
        <f>B28</f>
        <v>99.75</v>
      </c>
    </row>
    <row r="82" spans="1:12" s="3" customFormat="1" ht="27" customHeight="1" x14ac:dyDescent="0.4">
      <c r="A82" s="61" t="s">
        <v>46</v>
      </c>
      <c r="B82" s="63">
        <v>0</v>
      </c>
      <c r="C82" s="487" t="s">
        <v>47</v>
      </c>
      <c r="D82" s="488"/>
      <c r="E82" s="488"/>
      <c r="F82" s="488"/>
      <c r="G82" s="489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99.75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90" t="s">
        <v>108</v>
      </c>
      <c r="D84" s="491"/>
      <c r="E84" s="491"/>
      <c r="F84" s="491"/>
      <c r="G84" s="491"/>
      <c r="H84" s="492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90" t="s">
        <v>109</v>
      </c>
      <c r="D85" s="491"/>
      <c r="E85" s="491"/>
      <c r="F85" s="491"/>
      <c r="G85" s="491"/>
      <c r="H85" s="49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25</v>
      </c>
      <c r="D89" s="153" t="s">
        <v>56</v>
      </c>
      <c r="E89" s="154"/>
      <c r="F89" s="493" t="s">
        <v>57</v>
      </c>
      <c r="G89" s="495"/>
    </row>
    <row r="90" spans="1:12" ht="27" customHeight="1" x14ac:dyDescent="0.4">
      <c r="A90" s="76" t="s">
        <v>58</v>
      </c>
      <c r="B90" s="77">
        <v>4</v>
      </c>
      <c r="C90" s="155" t="s">
        <v>59</v>
      </c>
      <c r="D90" s="79" t="s">
        <v>60</v>
      </c>
      <c r="E90" s="80" t="s">
        <v>61</v>
      </c>
      <c r="F90" s="79" t="s">
        <v>60</v>
      </c>
      <c r="G90" s="156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100</v>
      </c>
      <c r="C91" s="157">
        <v>1</v>
      </c>
      <c r="D91" s="271">
        <v>173232</v>
      </c>
      <c r="E91" s="84">
        <f>IF(ISBLANK(D91),"-",$D$101/$D$98*D91)</f>
        <v>194029.56864257171</v>
      </c>
      <c r="F91" s="271">
        <v>178721</v>
      </c>
      <c r="G91" s="85">
        <f>IF(ISBLANK(F91),"-",$D$101/$F$98*F91)</f>
        <v>195077.49175868518</v>
      </c>
      <c r="I91" s="86"/>
    </row>
    <row r="92" spans="1:12" ht="26.25" customHeight="1" x14ac:dyDescent="0.4">
      <c r="A92" s="76" t="s">
        <v>64</v>
      </c>
      <c r="B92" s="77">
        <v>1</v>
      </c>
      <c r="C92" s="142">
        <v>2</v>
      </c>
      <c r="D92" s="276">
        <v>172867</v>
      </c>
      <c r="E92" s="89">
        <f>IF(ISBLANK(D92),"-",$D$101/$D$98*D92)</f>
        <v>193620.74814431192</v>
      </c>
      <c r="F92" s="276">
        <v>177684</v>
      </c>
      <c r="G92" s="90">
        <f>IF(ISBLANK(F92),"-",$D$101/$F$98*F92)</f>
        <v>193945.58583294754</v>
      </c>
      <c r="I92" s="497">
        <f>ABS((F96/D96*D95)-F95)/D95</f>
        <v>2.901013821513651E-3</v>
      </c>
    </row>
    <row r="93" spans="1:12" ht="26.25" customHeight="1" x14ac:dyDescent="0.4">
      <c r="A93" s="76" t="s">
        <v>65</v>
      </c>
      <c r="B93" s="77">
        <v>1</v>
      </c>
      <c r="C93" s="142">
        <v>3</v>
      </c>
      <c r="D93" s="276">
        <v>173512</v>
      </c>
      <c r="E93" s="89">
        <f>IF(ISBLANK(D93),"-",$D$101/$D$98*D93)</f>
        <v>194343.18436726413</v>
      </c>
      <c r="F93" s="276">
        <v>178298</v>
      </c>
      <c r="G93" s="90">
        <f>IF(ISBLANK(F93),"-",$D$101/$F$98*F93)</f>
        <v>194615.77892687512</v>
      </c>
      <c r="I93" s="497"/>
    </row>
    <row r="94" spans="1:12" ht="27" customHeight="1" x14ac:dyDescent="0.4">
      <c r="A94" s="76" t="s">
        <v>66</v>
      </c>
      <c r="B94" s="77">
        <v>1</v>
      </c>
      <c r="C94" s="158">
        <v>4</v>
      </c>
      <c r="D94" s="93"/>
      <c r="E94" s="94" t="str">
        <f>IF(ISBLANK(D94),"-",$D$101/$D$98*D94)</f>
        <v>-</v>
      </c>
      <c r="F94" s="159"/>
      <c r="G94" s="95" t="str">
        <f>IF(ISBLANK(F94),"-",$D$101/$F$98*F94)</f>
        <v>-</v>
      </c>
      <c r="I94" s="96"/>
    </row>
    <row r="95" spans="1:12" ht="27" customHeight="1" x14ac:dyDescent="0.4">
      <c r="A95" s="76" t="s">
        <v>67</v>
      </c>
      <c r="B95" s="77">
        <v>1</v>
      </c>
      <c r="C95" s="160" t="s">
        <v>68</v>
      </c>
      <c r="D95" s="161">
        <f>AVERAGE(D91:D94)</f>
        <v>173203.66666666666</v>
      </c>
      <c r="E95" s="99">
        <f>AVERAGE(E91:E94)</f>
        <v>193997.83371804925</v>
      </c>
      <c r="F95" s="162">
        <f>AVERAGE(F91:F94)</f>
        <v>178234.33333333334</v>
      </c>
      <c r="G95" s="163">
        <f>AVERAGE(G91:G94)</f>
        <v>194546.28550616928</v>
      </c>
    </row>
    <row r="96" spans="1:12" ht="26.25" customHeight="1" x14ac:dyDescent="0.4">
      <c r="A96" s="76" t="s">
        <v>69</v>
      </c>
      <c r="B96" s="62">
        <v>1</v>
      </c>
      <c r="C96" s="164" t="s">
        <v>110</v>
      </c>
      <c r="D96" s="165">
        <v>19.89</v>
      </c>
      <c r="E96" s="91"/>
      <c r="F96" s="103">
        <v>20.41</v>
      </c>
    </row>
    <row r="97" spans="1:10" ht="26.25" customHeight="1" x14ac:dyDescent="0.4">
      <c r="A97" s="76" t="s">
        <v>71</v>
      </c>
      <c r="B97" s="62">
        <v>1</v>
      </c>
      <c r="C97" s="166" t="s">
        <v>111</v>
      </c>
      <c r="D97" s="167">
        <f>D96*$B$87</f>
        <v>19.89</v>
      </c>
      <c r="E97" s="106"/>
      <c r="F97" s="105">
        <f>F96*$B$87</f>
        <v>20.41</v>
      </c>
    </row>
    <row r="98" spans="1:10" ht="19.5" customHeight="1" x14ac:dyDescent="0.3">
      <c r="A98" s="76" t="s">
        <v>73</v>
      </c>
      <c r="B98" s="168">
        <f>(B97/B96)*(B95/B94)*(B93/B92)*(B91/B90)*B89</f>
        <v>625</v>
      </c>
      <c r="C98" s="166" t="s">
        <v>112</v>
      </c>
      <c r="D98" s="169">
        <f>D97*$B$83/100</f>
        <v>19.840275000000002</v>
      </c>
      <c r="E98" s="109"/>
      <c r="F98" s="108">
        <f>F97*$B$83/100</f>
        <v>20.358975000000001</v>
      </c>
    </row>
    <row r="99" spans="1:10" ht="19.5" customHeight="1" x14ac:dyDescent="0.3">
      <c r="A99" s="498" t="s">
        <v>75</v>
      </c>
      <c r="B99" s="512"/>
      <c r="C99" s="166" t="s">
        <v>113</v>
      </c>
      <c r="D99" s="170">
        <f>D98/$B$98</f>
        <v>3.1744440000000006E-2</v>
      </c>
      <c r="E99" s="109"/>
      <c r="F99" s="112">
        <f>F98/$B$98</f>
        <v>3.2574360000000004E-2</v>
      </c>
      <c r="G99" s="171"/>
      <c r="H99" s="101"/>
    </row>
    <row r="100" spans="1:10" ht="19.5" customHeight="1" x14ac:dyDescent="0.3">
      <c r="A100" s="500"/>
      <c r="B100" s="513"/>
      <c r="C100" s="166" t="s">
        <v>77</v>
      </c>
      <c r="D100" s="172">
        <f>$B$56/$B$116</f>
        <v>3.5555555555555556E-2</v>
      </c>
      <c r="F100" s="117"/>
      <c r="G100" s="173"/>
      <c r="H100" s="101"/>
    </row>
    <row r="101" spans="1:10" ht="18.75" x14ac:dyDescent="0.3">
      <c r="C101" s="166" t="s">
        <v>78</v>
      </c>
      <c r="D101" s="167">
        <f>D100*$B$98</f>
        <v>22.222222222222221</v>
      </c>
      <c r="F101" s="117"/>
      <c r="G101" s="171"/>
      <c r="H101" s="101"/>
    </row>
    <row r="102" spans="1:10" ht="19.5" customHeight="1" x14ac:dyDescent="0.3">
      <c r="C102" s="174" t="s">
        <v>79</v>
      </c>
      <c r="D102" s="175">
        <f>D101/B34</f>
        <v>22.222222222222221</v>
      </c>
      <c r="F102" s="121"/>
      <c r="G102" s="171"/>
      <c r="H102" s="101"/>
      <c r="J102" s="176"/>
    </row>
    <row r="103" spans="1:10" ht="18.75" x14ac:dyDescent="0.3">
      <c r="C103" s="177" t="s">
        <v>114</v>
      </c>
      <c r="D103" s="178">
        <f>AVERAGE(E91:E94,G91:G94)</f>
        <v>194272.0596121093</v>
      </c>
      <c r="F103" s="121"/>
      <c r="G103" s="179"/>
      <c r="H103" s="101"/>
      <c r="J103" s="180"/>
    </row>
    <row r="104" spans="1:10" ht="18.75" x14ac:dyDescent="0.3">
      <c r="C104" s="144" t="s">
        <v>81</v>
      </c>
      <c r="D104" s="181">
        <f>STDEV(E91:E94,G91:G94)/D103</f>
        <v>2.6860622342618477E-3</v>
      </c>
      <c r="F104" s="121"/>
      <c r="G104" s="171"/>
      <c r="H104" s="101"/>
      <c r="J104" s="180"/>
    </row>
    <row r="105" spans="1:10" ht="19.5" customHeight="1" x14ac:dyDescent="0.3">
      <c r="C105" s="146" t="s">
        <v>20</v>
      </c>
      <c r="D105" s="182">
        <f>COUNT(E91:E94,G91:G94)</f>
        <v>6</v>
      </c>
      <c r="F105" s="121"/>
      <c r="G105" s="171"/>
      <c r="H105" s="101"/>
      <c r="J105" s="180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7" customHeight="1" x14ac:dyDescent="0.4">
      <c r="A107" s="74" t="s">
        <v>115</v>
      </c>
      <c r="B107" s="75">
        <v>900</v>
      </c>
      <c r="C107" s="221" t="s">
        <v>116</v>
      </c>
      <c r="D107" s="221" t="s">
        <v>60</v>
      </c>
      <c r="E107" s="221" t="s">
        <v>117</v>
      </c>
      <c r="F107" s="183" t="s">
        <v>118</v>
      </c>
    </row>
    <row r="108" spans="1:10" ht="26.25" customHeight="1" x14ac:dyDescent="0.4">
      <c r="A108" s="76" t="s">
        <v>119</v>
      </c>
      <c r="B108" s="77">
        <v>4</v>
      </c>
      <c r="C108" s="226">
        <v>1</v>
      </c>
      <c r="D108" s="227">
        <v>196236</v>
      </c>
      <c r="E108" s="201">
        <f t="shared" ref="E108:E113" si="1">IF(ISBLANK(D108),"-",D108/$D$103*$D$100*$B$116)</f>
        <v>161.61747635089637</v>
      </c>
      <c r="F108" s="228">
        <f t="shared" ref="F108:F113" si="2">IF(ISBLANK(D108), "-", (E108/$B$56)*100)</f>
        <v>101.01092271931023</v>
      </c>
    </row>
    <row r="109" spans="1:10" ht="26.25" customHeight="1" x14ac:dyDescent="0.4">
      <c r="A109" s="76" t="s">
        <v>92</v>
      </c>
      <c r="B109" s="77">
        <v>20</v>
      </c>
      <c r="C109" s="222">
        <v>2</v>
      </c>
      <c r="D109" s="224">
        <v>197862</v>
      </c>
      <c r="E109" s="202">
        <f t="shared" si="1"/>
        <v>162.95662929198033</v>
      </c>
      <c r="F109" s="229">
        <f t="shared" si="2"/>
        <v>101.84789330748771</v>
      </c>
    </row>
    <row r="110" spans="1:10" ht="26.25" customHeight="1" x14ac:dyDescent="0.4">
      <c r="A110" s="76" t="s">
        <v>93</v>
      </c>
      <c r="B110" s="77">
        <v>1</v>
      </c>
      <c r="C110" s="222">
        <v>3</v>
      </c>
      <c r="D110" s="224">
        <v>196390</v>
      </c>
      <c r="E110" s="202">
        <f t="shared" si="1"/>
        <v>161.74430879427086</v>
      </c>
      <c r="F110" s="229">
        <f t="shared" si="2"/>
        <v>101.09019299641928</v>
      </c>
    </row>
    <row r="111" spans="1:10" ht="26.25" customHeight="1" x14ac:dyDescent="0.4">
      <c r="A111" s="76" t="s">
        <v>94</v>
      </c>
      <c r="B111" s="77">
        <v>1</v>
      </c>
      <c r="C111" s="222">
        <v>4</v>
      </c>
      <c r="D111" s="224">
        <v>196258</v>
      </c>
      <c r="E111" s="202">
        <f t="shared" si="1"/>
        <v>161.63559527137841</v>
      </c>
      <c r="F111" s="229">
        <f t="shared" si="2"/>
        <v>101.02224704461152</v>
      </c>
    </row>
    <row r="112" spans="1:10" ht="26.25" customHeight="1" x14ac:dyDescent="0.4">
      <c r="A112" s="76" t="s">
        <v>95</v>
      </c>
      <c r="B112" s="77">
        <v>1</v>
      </c>
      <c r="C112" s="222">
        <v>5</v>
      </c>
      <c r="D112" s="224">
        <v>197587</v>
      </c>
      <c r="E112" s="202">
        <f t="shared" si="1"/>
        <v>162.73014278595443</v>
      </c>
      <c r="F112" s="229">
        <f t="shared" si="2"/>
        <v>101.70633924122153</v>
      </c>
    </row>
    <row r="113" spans="1:10" ht="27" customHeight="1" x14ac:dyDescent="0.4">
      <c r="A113" s="76" t="s">
        <v>97</v>
      </c>
      <c r="B113" s="77">
        <v>1</v>
      </c>
      <c r="C113" s="223">
        <v>6</v>
      </c>
      <c r="D113" s="225">
        <v>198972</v>
      </c>
      <c r="E113" s="203">
        <f t="shared" si="1"/>
        <v>163.87081118903029</v>
      </c>
      <c r="F113" s="230">
        <f t="shared" si="2"/>
        <v>102.41925699314393</v>
      </c>
    </row>
    <row r="114" spans="1:10" ht="27" customHeight="1" x14ac:dyDescent="0.4">
      <c r="A114" s="76" t="s">
        <v>98</v>
      </c>
      <c r="B114" s="77">
        <v>1</v>
      </c>
      <c r="C114" s="184"/>
      <c r="D114" s="142"/>
      <c r="E114" s="50"/>
      <c r="F114" s="231"/>
    </row>
    <row r="115" spans="1:10" ht="26.25" customHeight="1" x14ac:dyDescent="0.4">
      <c r="A115" s="76" t="s">
        <v>99</v>
      </c>
      <c r="B115" s="77">
        <v>1</v>
      </c>
      <c r="C115" s="184"/>
      <c r="D115" s="208" t="s">
        <v>68</v>
      </c>
      <c r="E115" s="210">
        <f>AVERAGE(E108:E113)</f>
        <v>162.42582728058511</v>
      </c>
      <c r="F115" s="232">
        <f>AVERAGE(F108:F113)</f>
        <v>101.5161420503657</v>
      </c>
    </row>
    <row r="116" spans="1:10" ht="27" customHeight="1" x14ac:dyDescent="0.4">
      <c r="A116" s="76" t="s">
        <v>100</v>
      </c>
      <c r="B116" s="107">
        <f>(B115/B114)*(B113/B112)*(B111/B110)*(B109/B108)*B107</f>
        <v>4500</v>
      </c>
      <c r="C116" s="185"/>
      <c r="D116" s="209" t="s">
        <v>81</v>
      </c>
      <c r="E116" s="207">
        <f>STDEV(E108:E113)/E115</f>
        <v>5.645826747492878E-3</v>
      </c>
      <c r="F116" s="186">
        <f>STDEV(F108:F113)/F115</f>
        <v>5.6458267474928815E-3</v>
      </c>
      <c r="I116" s="50"/>
    </row>
    <row r="117" spans="1:10" ht="27" customHeight="1" x14ac:dyDescent="0.4">
      <c r="A117" s="498" t="s">
        <v>75</v>
      </c>
      <c r="B117" s="499"/>
      <c r="C117" s="187"/>
      <c r="D117" s="146" t="s">
        <v>20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">
      <c r="A118" s="500"/>
      <c r="B118" s="501"/>
      <c r="C118" s="50"/>
      <c r="D118" s="211"/>
      <c r="E118" s="478" t="s">
        <v>120</v>
      </c>
      <c r="F118" s="479"/>
      <c r="G118" s="50"/>
      <c r="H118" s="50"/>
      <c r="I118" s="50"/>
    </row>
    <row r="119" spans="1:10" ht="25.5" customHeight="1" x14ac:dyDescent="0.4">
      <c r="A119" s="196"/>
      <c r="B119" s="72"/>
      <c r="C119" s="50"/>
      <c r="D119" s="209" t="s">
        <v>121</v>
      </c>
      <c r="E119" s="214">
        <f>MIN(E108:E113)</f>
        <v>161.61747635089637</v>
      </c>
      <c r="F119" s="233">
        <f>MIN(F108:F113)</f>
        <v>101.01092271931023</v>
      </c>
      <c r="G119" s="50"/>
      <c r="H119" s="50"/>
      <c r="I119" s="50"/>
    </row>
    <row r="120" spans="1:10" ht="24" customHeight="1" x14ac:dyDescent="0.4">
      <c r="A120" s="196"/>
      <c r="B120" s="72"/>
      <c r="C120" s="50"/>
      <c r="D120" s="118" t="s">
        <v>122</v>
      </c>
      <c r="E120" s="215">
        <f>MAX(E108:E113)</f>
        <v>163.87081118903029</v>
      </c>
      <c r="F120" s="234">
        <f>MAX(F108:F113)</f>
        <v>102.41925699314393</v>
      </c>
      <c r="G120" s="50"/>
      <c r="H120" s="50"/>
      <c r="I120" s="50"/>
    </row>
    <row r="121" spans="1:10" ht="27" customHeight="1" x14ac:dyDescent="0.3">
      <c r="A121" s="196"/>
      <c r="B121" s="72"/>
      <c r="C121" s="50"/>
      <c r="D121" s="50"/>
      <c r="E121" s="50"/>
      <c r="F121" s="142"/>
      <c r="G121" s="50"/>
      <c r="H121" s="50"/>
      <c r="I121" s="50"/>
    </row>
    <row r="122" spans="1:10" ht="25.5" customHeight="1" x14ac:dyDescent="0.3">
      <c r="A122" s="196"/>
      <c r="B122" s="72"/>
      <c r="C122" s="50"/>
      <c r="D122" s="50"/>
      <c r="E122" s="50"/>
      <c r="F122" s="142"/>
      <c r="G122" s="50"/>
      <c r="H122" s="50"/>
      <c r="I122" s="50"/>
    </row>
    <row r="123" spans="1:10" ht="18.75" x14ac:dyDescent="0.3">
      <c r="A123" s="196"/>
      <c r="B123" s="72"/>
      <c r="C123" s="50"/>
      <c r="D123" s="50"/>
      <c r="E123" s="50"/>
      <c r="F123" s="142"/>
      <c r="G123" s="50"/>
      <c r="H123" s="50"/>
      <c r="I123" s="50"/>
    </row>
    <row r="124" spans="1:10" ht="45.75" customHeight="1" x14ac:dyDescent="0.65">
      <c r="A124" s="60" t="s">
        <v>103</v>
      </c>
      <c r="B124" s="148" t="s">
        <v>123</v>
      </c>
      <c r="C124" s="510" t="str">
        <f>B26</f>
        <v>Trimethoprim</v>
      </c>
      <c r="D124" s="510"/>
      <c r="E124" s="149" t="s">
        <v>124</v>
      </c>
      <c r="F124" s="149"/>
      <c r="G124" s="235">
        <f>F115</f>
        <v>101.5161420503657</v>
      </c>
      <c r="H124" s="50"/>
      <c r="I124" s="50"/>
    </row>
    <row r="125" spans="1:10" ht="45.75" customHeight="1" x14ac:dyDescent="0.65">
      <c r="A125" s="60"/>
      <c r="B125" s="148" t="s">
        <v>125</v>
      </c>
      <c r="C125" s="61" t="s">
        <v>126</v>
      </c>
      <c r="D125" s="235">
        <f>MIN(F108:F113)</f>
        <v>101.01092271931023</v>
      </c>
      <c r="E125" s="160" t="s">
        <v>127</v>
      </c>
      <c r="F125" s="235">
        <f>MAX(F108:F113)</f>
        <v>102.41925699314393</v>
      </c>
      <c r="G125" s="150"/>
      <c r="H125" s="50"/>
      <c r="I125" s="50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511" t="s">
        <v>23</v>
      </c>
      <c r="C127" s="511"/>
      <c r="E127" s="155" t="s">
        <v>24</v>
      </c>
      <c r="F127" s="190"/>
      <c r="G127" s="511" t="s">
        <v>25</v>
      </c>
      <c r="H127" s="511"/>
    </row>
    <row r="128" spans="1:10" ht="69.95" customHeight="1" x14ac:dyDescent="0.3">
      <c r="A128" s="191" t="s">
        <v>26</v>
      </c>
      <c r="B128" s="192"/>
      <c r="C128" s="192"/>
      <c r="E128" s="192"/>
      <c r="F128" s="50"/>
      <c r="G128" s="193"/>
      <c r="H128" s="193"/>
    </row>
    <row r="129" spans="1:9" ht="69.95" customHeight="1" x14ac:dyDescent="0.3">
      <c r="A129" s="191" t="s">
        <v>27</v>
      </c>
      <c r="B129" s="194"/>
      <c r="C129" s="194"/>
      <c r="E129" s="194"/>
      <c r="F129" s="50"/>
      <c r="G129" s="195"/>
      <c r="H129" s="195"/>
    </row>
    <row r="130" spans="1:9" ht="18.75" x14ac:dyDescent="0.3">
      <c r="A130" s="141"/>
      <c r="B130" s="141"/>
      <c r="C130" s="142"/>
      <c r="D130" s="142"/>
      <c r="E130" s="142"/>
      <c r="F130" s="145"/>
      <c r="G130" s="142"/>
      <c r="H130" s="142"/>
      <c r="I130" s="50"/>
    </row>
    <row r="131" spans="1:9" ht="18.75" x14ac:dyDescent="0.3">
      <c r="A131" s="141"/>
      <c r="B131" s="141"/>
      <c r="C131" s="142"/>
      <c r="D131" s="142"/>
      <c r="E131" s="142"/>
      <c r="F131" s="145"/>
      <c r="G131" s="142"/>
      <c r="H131" s="142"/>
      <c r="I131" s="50"/>
    </row>
    <row r="132" spans="1:9" ht="18.75" x14ac:dyDescent="0.3">
      <c r="A132" s="141"/>
      <c r="B132" s="141"/>
      <c r="C132" s="142"/>
      <c r="D132" s="142"/>
      <c r="E132" s="142"/>
      <c r="F132" s="145"/>
      <c r="G132" s="142"/>
      <c r="H132" s="142"/>
      <c r="I132" s="50"/>
    </row>
    <row r="133" spans="1:9" ht="18.75" x14ac:dyDescent="0.3">
      <c r="A133" s="141"/>
      <c r="B133" s="141"/>
      <c r="C133" s="142"/>
      <c r="D133" s="142"/>
      <c r="E133" s="142"/>
      <c r="F133" s="145"/>
      <c r="G133" s="142"/>
      <c r="H133" s="142"/>
      <c r="I133" s="50"/>
    </row>
    <row r="134" spans="1:9" ht="18.75" x14ac:dyDescent="0.3">
      <c r="A134" s="141"/>
      <c r="B134" s="141"/>
      <c r="C134" s="142"/>
      <c r="D134" s="142"/>
      <c r="E134" s="142"/>
      <c r="F134" s="145"/>
      <c r="G134" s="142"/>
      <c r="H134" s="142"/>
      <c r="I134" s="50"/>
    </row>
    <row r="135" spans="1:9" ht="18.75" x14ac:dyDescent="0.3">
      <c r="A135" s="141"/>
      <c r="B135" s="141"/>
      <c r="C135" s="142"/>
      <c r="D135" s="142"/>
      <c r="E135" s="142"/>
      <c r="F135" s="145"/>
      <c r="G135" s="142"/>
      <c r="H135" s="142"/>
      <c r="I135" s="50"/>
    </row>
    <row r="136" spans="1:9" ht="18.75" x14ac:dyDescent="0.3">
      <c r="A136" s="141"/>
      <c r="B136" s="141"/>
      <c r="C136" s="142"/>
      <c r="D136" s="142"/>
      <c r="E136" s="142"/>
      <c r="F136" s="145"/>
      <c r="G136" s="142"/>
      <c r="H136" s="142"/>
      <c r="I136" s="50"/>
    </row>
    <row r="137" spans="1:9" ht="18.75" x14ac:dyDescent="0.3">
      <c r="A137" s="141"/>
      <c r="B137" s="141"/>
      <c r="C137" s="142"/>
      <c r="D137" s="142"/>
      <c r="E137" s="142"/>
      <c r="F137" s="145"/>
      <c r="G137" s="142"/>
      <c r="H137" s="142"/>
      <c r="I137" s="50"/>
    </row>
    <row r="138" spans="1:9" ht="18.75" x14ac:dyDescent="0.3">
      <c r="A138" s="141"/>
      <c r="B138" s="141"/>
      <c r="C138" s="142"/>
      <c r="D138" s="142"/>
      <c r="E138" s="142"/>
      <c r="F138" s="145"/>
      <c r="G138" s="142"/>
      <c r="H138" s="142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10" zoomScale="50" zoomScaleNormal="40" zoomScalePageLayoutView="50" workbookViewId="0">
      <selection activeCell="A21" sqref="A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8" t="s">
        <v>42</v>
      </c>
      <c r="B1" s="508"/>
      <c r="C1" s="508"/>
      <c r="D1" s="508"/>
      <c r="E1" s="508"/>
      <c r="F1" s="508"/>
      <c r="G1" s="508"/>
      <c r="H1" s="508"/>
      <c r="I1" s="508"/>
    </row>
    <row r="2" spans="1:9" ht="18.75" customHeight="1" x14ac:dyDescent="0.25">
      <c r="A2" s="508"/>
      <c r="B2" s="508"/>
      <c r="C2" s="508"/>
      <c r="D2" s="508"/>
      <c r="E2" s="508"/>
      <c r="F2" s="508"/>
      <c r="G2" s="508"/>
      <c r="H2" s="508"/>
      <c r="I2" s="508"/>
    </row>
    <row r="3" spans="1:9" ht="18.75" customHeight="1" x14ac:dyDescent="0.25">
      <c r="A3" s="508"/>
      <c r="B3" s="508"/>
      <c r="C3" s="508"/>
      <c r="D3" s="508"/>
      <c r="E3" s="508"/>
      <c r="F3" s="508"/>
      <c r="G3" s="508"/>
      <c r="H3" s="508"/>
      <c r="I3" s="508"/>
    </row>
    <row r="4" spans="1:9" ht="18.75" customHeight="1" x14ac:dyDescent="0.25">
      <c r="A4" s="508"/>
      <c r="B4" s="508"/>
      <c r="C4" s="508"/>
      <c r="D4" s="508"/>
      <c r="E4" s="508"/>
      <c r="F4" s="508"/>
      <c r="G4" s="508"/>
      <c r="H4" s="508"/>
      <c r="I4" s="508"/>
    </row>
    <row r="5" spans="1:9" ht="18.75" customHeight="1" x14ac:dyDescent="0.25">
      <c r="A5" s="508"/>
      <c r="B5" s="508"/>
      <c r="C5" s="508"/>
      <c r="D5" s="508"/>
      <c r="E5" s="508"/>
      <c r="F5" s="508"/>
      <c r="G5" s="508"/>
      <c r="H5" s="508"/>
      <c r="I5" s="508"/>
    </row>
    <row r="6" spans="1:9" ht="18.75" customHeight="1" x14ac:dyDescent="0.25">
      <c r="A6" s="508"/>
      <c r="B6" s="508"/>
      <c r="C6" s="508"/>
      <c r="D6" s="508"/>
      <c r="E6" s="508"/>
      <c r="F6" s="508"/>
      <c r="G6" s="508"/>
      <c r="H6" s="508"/>
      <c r="I6" s="508"/>
    </row>
    <row r="7" spans="1:9" ht="18.75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x14ac:dyDescent="0.25">
      <c r="A8" s="509" t="s">
        <v>43</v>
      </c>
      <c r="B8" s="509"/>
      <c r="C8" s="509"/>
      <c r="D8" s="509"/>
      <c r="E8" s="509"/>
      <c r="F8" s="509"/>
      <c r="G8" s="509"/>
      <c r="H8" s="509"/>
      <c r="I8" s="509"/>
    </row>
    <row r="9" spans="1:9" x14ac:dyDescent="0.25">
      <c r="A9" s="509"/>
      <c r="B9" s="509"/>
      <c r="C9" s="509"/>
      <c r="D9" s="509"/>
      <c r="E9" s="509"/>
      <c r="F9" s="509"/>
      <c r="G9" s="509"/>
      <c r="H9" s="509"/>
      <c r="I9" s="509"/>
    </row>
    <row r="10" spans="1:9" x14ac:dyDescent="0.25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 x14ac:dyDescent="0.25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 x14ac:dyDescent="0.25">
      <c r="A12" s="509"/>
      <c r="B12" s="509"/>
      <c r="C12" s="509"/>
      <c r="D12" s="509"/>
      <c r="E12" s="509"/>
      <c r="F12" s="509"/>
      <c r="G12" s="509"/>
      <c r="H12" s="509"/>
      <c r="I12" s="509"/>
    </row>
    <row r="13" spans="1:9" x14ac:dyDescent="0.25">
      <c r="A13" s="509"/>
      <c r="B13" s="509"/>
      <c r="C13" s="509"/>
      <c r="D13" s="509"/>
      <c r="E13" s="509"/>
      <c r="F13" s="509"/>
      <c r="G13" s="509"/>
      <c r="H13" s="509"/>
      <c r="I13" s="509"/>
    </row>
    <row r="14" spans="1:9" x14ac:dyDescent="0.25">
      <c r="A14" s="509"/>
      <c r="B14" s="509"/>
      <c r="C14" s="509"/>
      <c r="D14" s="509"/>
      <c r="E14" s="509"/>
      <c r="F14" s="509"/>
      <c r="G14" s="509"/>
      <c r="H14" s="509"/>
      <c r="I14" s="509"/>
    </row>
    <row r="15" spans="1:9" ht="19.5" customHeight="1" x14ac:dyDescent="0.3">
      <c r="A15" s="237"/>
    </row>
    <row r="16" spans="1:9" ht="19.5" customHeight="1" x14ac:dyDescent="0.3">
      <c r="A16" s="481" t="s">
        <v>28</v>
      </c>
      <c r="B16" s="482"/>
      <c r="C16" s="482"/>
      <c r="D16" s="482"/>
      <c r="E16" s="482"/>
      <c r="F16" s="482"/>
      <c r="G16" s="482"/>
      <c r="H16" s="483"/>
    </row>
    <row r="17" spans="1:14" ht="20.25" customHeight="1" x14ac:dyDescent="0.25">
      <c r="A17" s="484" t="s">
        <v>44</v>
      </c>
      <c r="B17" s="484"/>
      <c r="C17" s="484"/>
      <c r="D17" s="484"/>
      <c r="E17" s="484"/>
      <c r="F17" s="484"/>
      <c r="G17" s="484"/>
      <c r="H17" s="484"/>
    </row>
    <row r="18" spans="1:14" ht="26.25" customHeight="1" x14ac:dyDescent="0.4">
      <c r="A18" s="239" t="s">
        <v>30</v>
      </c>
      <c r="B18" s="485" t="s">
        <v>5</v>
      </c>
      <c r="C18" s="485"/>
      <c r="D18" s="384"/>
      <c r="E18" s="240"/>
      <c r="F18" s="241"/>
      <c r="G18" s="241"/>
      <c r="H18" s="241"/>
    </row>
    <row r="19" spans="1:14" ht="26.25" customHeight="1" x14ac:dyDescent="0.4">
      <c r="A19" s="239" t="s">
        <v>31</v>
      </c>
      <c r="B19" s="242" t="s">
        <v>7</v>
      </c>
      <c r="C19" s="393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32</v>
      </c>
      <c r="B20" s="480" t="s">
        <v>128</v>
      </c>
      <c r="C20" s="480"/>
      <c r="D20" s="241"/>
      <c r="E20" s="241"/>
      <c r="F20" s="241"/>
      <c r="G20" s="241"/>
      <c r="H20" s="241"/>
    </row>
    <row r="21" spans="1:14" ht="26.25" customHeight="1" x14ac:dyDescent="0.4">
      <c r="A21" s="239" t="s">
        <v>33</v>
      </c>
      <c r="B21" s="480" t="s">
        <v>11</v>
      </c>
      <c r="C21" s="480"/>
      <c r="D21" s="480"/>
      <c r="E21" s="480"/>
      <c r="F21" s="480"/>
      <c r="G21" s="480"/>
      <c r="H21" s="480"/>
      <c r="I21" s="243"/>
    </row>
    <row r="22" spans="1:14" ht="26.25" customHeight="1" x14ac:dyDescent="0.4">
      <c r="A22" s="239" t="s">
        <v>34</v>
      </c>
      <c r="B22" s="244">
        <v>43322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35</v>
      </c>
      <c r="B23" s="244">
        <v>43325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480" t="s">
        <v>128</v>
      </c>
      <c r="C26" s="480"/>
    </row>
    <row r="27" spans="1:14" ht="26.25" customHeight="1" x14ac:dyDescent="0.4">
      <c r="A27" s="248" t="s">
        <v>45</v>
      </c>
      <c r="B27" s="486" t="s">
        <v>129</v>
      </c>
      <c r="C27" s="486"/>
    </row>
    <row r="28" spans="1:14" ht="27" customHeight="1" x14ac:dyDescent="0.4">
      <c r="A28" s="248" t="s">
        <v>6</v>
      </c>
      <c r="B28" s="249">
        <v>99.02</v>
      </c>
    </row>
    <row r="29" spans="1:14" s="3" customFormat="1" ht="27" customHeight="1" x14ac:dyDescent="0.4">
      <c r="A29" s="248" t="s">
        <v>46</v>
      </c>
      <c r="B29" s="250">
        <v>0</v>
      </c>
      <c r="C29" s="487" t="s">
        <v>47</v>
      </c>
      <c r="D29" s="488"/>
      <c r="E29" s="488"/>
      <c r="F29" s="488"/>
      <c r="G29" s="489"/>
      <c r="I29" s="251"/>
      <c r="J29" s="251"/>
      <c r="K29" s="251"/>
      <c r="L29" s="251"/>
    </row>
    <row r="30" spans="1:14" s="3" customFormat="1" ht="19.5" customHeight="1" x14ac:dyDescent="0.3">
      <c r="A30" s="248" t="s">
        <v>48</v>
      </c>
      <c r="B30" s="252">
        <f>B28-B29</f>
        <v>99.02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49</v>
      </c>
      <c r="B31" s="255">
        <v>1</v>
      </c>
      <c r="C31" s="490" t="s">
        <v>50</v>
      </c>
      <c r="D31" s="491"/>
      <c r="E31" s="491"/>
      <c r="F31" s="491"/>
      <c r="G31" s="491"/>
      <c r="H31" s="492"/>
      <c r="I31" s="251"/>
      <c r="J31" s="251"/>
      <c r="K31" s="251"/>
      <c r="L31" s="251"/>
    </row>
    <row r="32" spans="1:14" s="3" customFormat="1" ht="27" customHeight="1" x14ac:dyDescent="0.4">
      <c r="A32" s="248" t="s">
        <v>51</v>
      </c>
      <c r="B32" s="255">
        <v>1</v>
      </c>
      <c r="C32" s="490" t="s">
        <v>52</v>
      </c>
      <c r="D32" s="491"/>
      <c r="E32" s="491"/>
      <c r="F32" s="491"/>
      <c r="G32" s="491"/>
      <c r="H32" s="492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53</v>
      </c>
      <c r="B34" s="260">
        <f>B31/B32</f>
        <v>1</v>
      </c>
      <c r="C34" s="238" t="s">
        <v>54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55</v>
      </c>
      <c r="B36" s="262">
        <v>100</v>
      </c>
      <c r="C36" s="238"/>
      <c r="D36" s="493" t="s">
        <v>56</v>
      </c>
      <c r="E36" s="494"/>
      <c r="F36" s="493" t="s">
        <v>57</v>
      </c>
      <c r="G36" s="495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58</v>
      </c>
      <c r="B37" s="264">
        <v>1</v>
      </c>
      <c r="C37" s="265" t="s">
        <v>59</v>
      </c>
      <c r="D37" s="266" t="s">
        <v>60</v>
      </c>
      <c r="E37" s="267" t="s">
        <v>61</v>
      </c>
      <c r="F37" s="266" t="s">
        <v>60</v>
      </c>
      <c r="G37" s="268" t="s">
        <v>61</v>
      </c>
      <c r="I37" s="269" t="s">
        <v>62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63</v>
      </c>
      <c r="B38" s="264">
        <v>1</v>
      </c>
      <c r="C38" s="270">
        <v>1</v>
      </c>
      <c r="D38" s="271">
        <v>2556393</v>
      </c>
      <c r="E38" s="272">
        <f>IF(ISBLANK(D38),"-",$D$48/$D$45*D38)</f>
        <v>2467568.551735322</v>
      </c>
      <c r="F38" s="271">
        <v>2242997</v>
      </c>
      <c r="G38" s="273">
        <f>IF(ISBLANK(F38),"-",$D$48/$F$45*F38)</f>
        <v>2417820.8619251857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64</v>
      </c>
      <c r="B39" s="264">
        <v>1</v>
      </c>
      <c r="C39" s="275">
        <v>2</v>
      </c>
      <c r="D39" s="276">
        <v>2554432</v>
      </c>
      <c r="E39" s="277">
        <f>IF(ISBLANK(D39),"-",$D$48/$D$45*D39)</f>
        <v>2465675.6886544293</v>
      </c>
      <c r="F39" s="276">
        <v>2236790</v>
      </c>
      <c r="G39" s="278">
        <f>IF(ISBLANK(F39),"-",$D$48/$F$45*F39)</f>
        <v>2411130.0754060913</v>
      </c>
      <c r="I39" s="497">
        <f>ABS((F43/D43*D42)-F42)/D42</f>
        <v>1.9529168429018688E-2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65</v>
      </c>
      <c r="B40" s="264">
        <v>1</v>
      </c>
      <c r="C40" s="275">
        <v>3</v>
      </c>
      <c r="D40" s="276">
        <v>2560604</v>
      </c>
      <c r="E40" s="277">
        <f>IF(ISBLANK(D40),"-",$D$48/$D$45*D40)</f>
        <v>2471633.2363011762</v>
      </c>
      <c r="F40" s="276">
        <v>2239854</v>
      </c>
      <c r="G40" s="278">
        <f>IF(ISBLANK(F40),"-",$D$48/$F$45*F40)</f>
        <v>2414432.8899532971</v>
      </c>
      <c r="I40" s="497"/>
      <c r="L40" s="256"/>
      <c r="M40" s="256"/>
      <c r="N40" s="279"/>
    </row>
    <row r="41" spans="1:14" ht="27" customHeight="1" x14ac:dyDescent="0.4">
      <c r="A41" s="263" t="s">
        <v>66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67</v>
      </c>
      <c r="B42" s="264">
        <v>1</v>
      </c>
      <c r="C42" s="285" t="s">
        <v>68</v>
      </c>
      <c r="D42" s="286">
        <f>AVERAGE(D38:D41)</f>
        <v>2557143</v>
      </c>
      <c r="E42" s="287">
        <f>AVERAGE(E38:E41)</f>
        <v>2468292.4922303092</v>
      </c>
      <c r="F42" s="286">
        <f>AVERAGE(F38:F41)</f>
        <v>2239880.3333333335</v>
      </c>
      <c r="G42" s="288">
        <f>AVERAGE(G38:G41)</f>
        <v>2414461.2757615247</v>
      </c>
      <c r="H42" s="289"/>
    </row>
    <row r="43" spans="1:14" ht="26.25" customHeight="1" x14ac:dyDescent="0.4">
      <c r="A43" s="263" t="s">
        <v>69</v>
      </c>
      <c r="B43" s="264">
        <v>1</v>
      </c>
      <c r="C43" s="290" t="s">
        <v>70</v>
      </c>
      <c r="D43" s="291">
        <v>16.739999999999998</v>
      </c>
      <c r="E43" s="279"/>
      <c r="F43" s="291">
        <v>14.99</v>
      </c>
      <c r="H43" s="289"/>
    </row>
    <row r="44" spans="1:14" ht="26.25" customHeight="1" x14ac:dyDescent="0.4">
      <c r="A44" s="263" t="s">
        <v>71</v>
      </c>
      <c r="B44" s="264">
        <v>1</v>
      </c>
      <c r="C44" s="292" t="s">
        <v>72</v>
      </c>
      <c r="D44" s="293">
        <f>D43*$B$34</f>
        <v>16.739999999999998</v>
      </c>
      <c r="E44" s="294"/>
      <c r="F44" s="293">
        <f>F43*$B$34</f>
        <v>14.99</v>
      </c>
      <c r="H44" s="289"/>
    </row>
    <row r="45" spans="1:14" ht="19.5" customHeight="1" x14ac:dyDescent="0.3">
      <c r="A45" s="263" t="s">
        <v>73</v>
      </c>
      <c r="B45" s="295">
        <f>(B44/B43)*(B42/B41)*(B40/B39)*(B38/B37)*B36</f>
        <v>100</v>
      </c>
      <c r="C45" s="292" t="s">
        <v>74</v>
      </c>
      <c r="D45" s="296">
        <f>D44*$B$30/100</f>
        <v>16.575947999999997</v>
      </c>
      <c r="E45" s="297"/>
      <c r="F45" s="296">
        <f>F44*$B$30/100</f>
        <v>14.843097999999999</v>
      </c>
      <c r="H45" s="289"/>
    </row>
    <row r="46" spans="1:14" ht="19.5" customHeight="1" x14ac:dyDescent="0.3">
      <c r="A46" s="498" t="s">
        <v>75</v>
      </c>
      <c r="B46" s="499"/>
      <c r="C46" s="292" t="s">
        <v>76</v>
      </c>
      <c r="D46" s="298">
        <f>D45/$B$45</f>
        <v>0.16575947999999996</v>
      </c>
      <c r="E46" s="299"/>
      <c r="F46" s="300">
        <f>F45/$B$45</f>
        <v>0.14843097999999999</v>
      </c>
      <c r="H46" s="289"/>
    </row>
    <row r="47" spans="1:14" ht="27" customHeight="1" x14ac:dyDescent="0.4">
      <c r="A47" s="500"/>
      <c r="B47" s="501"/>
      <c r="C47" s="301" t="s">
        <v>77</v>
      </c>
      <c r="D47" s="302">
        <v>0.16</v>
      </c>
      <c r="E47" s="303"/>
      <c r="F47" s="299"/>
      <c r="H47" s="289"/>
    </row>
    <row r="48" spans="1:14" ht="18.75" x14ac:dyDescent="0.3">
      <c r="C48" s="304" t="s">
        <v>78</v>
      </c>
      <c r="D48" s="296">
        <f>D47*$B$45</f>
        <v>16</v>
      </c>
      <c r="F48" s="305"/>
      <c r="H48" s="289"/>
    </row>
    <row r="49" spans="1:12" ht="19.5" customHeight="1" x14ac:dyDescent="0.3">
      <c r="C49" s="306" t="s">
        <v>79</v>
      </c>
      <c r="D49" s="307">
        <f>D48/B34</f>
        <v>16</v>
      </c>
      <c r="F49" s="305"/>
      <c r="H49" s="289"/>
    </row>
    <row r="50" spans="1:12" ht="18.75" x14ac:dyDescent="0.3">
      <c r="C50" s="261" t="s">
        <v>80</v>
      </c>
      <c r="D50" s="308">
        <f>AVERAGE(E38:E41,G38:G41)</f>
        <v>2441376.8839959172</v>
      </c>
      <c r="F50" s="309"/>
      <c r="H50" s="289"/>
    </row>
    <row r="51" spans="1:12" ht="18.75" x14ac:dyDescent="0.3">
      <c r="C51" s="263" t="s">
        <v>81</v>
      </c>
      <c r="D51" s="310">
        <f>STDEV(E38:E41,G38:G41)/D50</f>
        <v>1.2133735040853903E-2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82</v>
      </c>
    </row>
    <row r="55" spans="1:12" ht="18.75" x14ac:dyDescent="0.3">
      <c r="A55" s="238" t="s">
        <v>83</v>
      </c>
      <c r="B55" s="315" t="str">
        <f>B21</f>
        <v>Each tablet contains: Sulphamethoxazole B.P 800 mg and Trimethoprim B.P 160 mg.</v>
      </c>
    </row>
    <row r="56" spans="1:12" ht="26.25" customHeight="1" x14ac:dyDescent="0.4">
      <c r="A56" s="316" t="s">
        <v>84</v>
      </c>
      <c r="B56" s="317">
        <v>800</v>
      </c>
      <c r="C56" s="238" t="str">
        <f>B20</f>
        <v xml:space="preserve">Sulfamethoxazole </v>
      </c>
      <c r="H56" s="318"/>
    </row>
    <row r="57" spans="1:12" ht="18.75" x14ac:dyDescent="0.3">
      <c r="A57" s="315" t="s">
        <v>85</v>
      </c>
      <c r="B57" s="385">
        <f>Uniformity!C46</f>
        <v>1044.953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86</v>
      </c>
      <c r="B59" s="262">
        <v>100</v>
      </c>
      <c r="C59" s="238"/>
      <c r="D59" s="319" t="s">
        <v>87</v>
      </c>
      <c r="E59" s="320" t="s">
        <v>59</v>
      </c>
      <c r="F59" s="320" t="s">
        <v>60</v>
      </c>
      <c r="G59" s="320" t="s">
        <v>88</v>
      </c>
      <c r="H59" s="265" t="s">
        <v>89</v>
      </c>
      <c r="L59" s="251"/>
    </row>
    <row r="60" spans="1:12" s="3" customFormat="1" ht="26.25" customHeight="1" x14ac:dyDescent="0.4">
      <c r="A60" s="263" t="s">
        <v>90</v>
      </c>
      <c r="B60" s="264">
        <v>5</v>
      </c>
      <c r="C60" s="502" t="s">
        <v>91</v>
      </c>
      <c r="D60" s="505">
        <v>216.65</v>
      </c>
      <c r="E60" s="321">
        <v>1</v>
      </c>
      <c r="F60" s="322">
        <v>2598981</v>
      </c>
      <c r="G60" s="386">
        <f>IF(ISBLANK(F60),"-",(F60/$D$50*$D$47*$B$68)*($B$57/$D$60))</f>
        <v>821.53547735925304</v>
      </c>
      <c r="H60" s="404">
        <f t="shared" ref="H60:H71" si="0">IF(ISBLANK(F60),"-",(G60/$B$56)*100)</f>
        <v>102.69193466990663</v>
      </c>
      <c r="L60" s="251"/>
    </row>
    <row r="61" spans="1:12" s="3" customFormat="1" ht="26.25" customHeight="1" x14ac:dyDescent="0.4">
      <c r="A61" s="263" t="s">
        <v>92</v>
      </c>
      <c r="B61" s="264">
        <v>50</v>
      </c>
      <c r="C61" s="503"/>
      <c r="D61" s="506"/>
      <c r="E61" s="323">
        <v>2</v>
      </c>
      <c r="F61" s="276">
        <v>2605607</v>
      </c>
      <c r="G61" s="387">
        <f>IF(ISBLANK(F61),"-",(F61/$D$50*$D$47*$B$68)*($B$57/$D$60))</f>
        <v>823.62994979786731</v>
      </c>
      <c r="H61" s="405">
        <f t="shared" si="0"/>
        <v>102.9537437247334</v>
      </c>
      <c r="L61" s="251"/>
    </row>
    <row r="62" spans="1:12" s="3" customFormat="1" ht="26.25" customHeight="1" x14ac:dyDescent="0.4">
      <c r="A62" s="263" t="s">
        <v>93</v>
      </c>
      <c r="B62" s="264">
        <v>1</v>
      </c>
      <c r="C62" s="503"/>
      <c r="D62" s="506"/>
      <c r="E62" s="323">
        <v>3</v>
      </c>
      <c r="F62" s="324">
        <v>2601130</v>
      </c>
      <c r="G62" s="387">
        <f>IF(ISBLANK(F62),"-",(F62/$D$50*$D$47*$B$68)*($B$57/$D$60))</f>
        <v>822.21477426094066</v>
      </c>
      <c r="H62" s="405">
        <f t="shared" si="0"/>
        <v>102.77684678261758</v>
      </c>
      <c r="L62" s="251"/>
    </row>
    <row r="63" spans="1:12" ht="27" customHeight="1" x14ac:dyDescent="0.4">
      <c r="A63" s="263" t="s">
        <v>94</v>
      </c>
      <c r="B63" s="264">
        <v>1</v>
      </c>
      <c r="C63" s="504"/>
      <c r="D63" s="507"/>
      <c r="E63" s="325">
        <v>4</v>
      </c>
      <c r="F63" s="326"/>
      <c r="G63" s="387" t="str">
        <f>IF(ISBLANK(F63),"-",(F63/$D$50*$D$47*$B$68)*($B$57/$D$60))</f>
        <v>-</v>
      </c>
      <c r="H63" s="405" t="str">
        <f t="shared" si="0"/>
        <v>-</v>
      </c>
    </row>
    <row r="64" spans="1:12" ht="26.25" customHeight="1" x14ac:dyDescent="0.4">
      <c r="A64" s="263" t="s">
        <v>95</v>
      </c>
      <c r="B64" s="264">
        <v>1</v>
      </c>
      <c r="C64" s="502" t="s">
        <v>96</v>
      </c>
      <c r="D64" s="505">
        <v>208.46</v>
      </c>
      <c r="E64" s="321">
        <v>1</v>
      </c>
      <c r="F64" s="322">
        <v>2480595</v>
      </c>
      <c r="G64" s="386">
        <f>IF(ISBLANK(F64),"-",(F64/$D$50*$D$47*$B$68)*($B$57/$D$64))</f>
        <v>814.92012322105563</v>
      </c>
      <c r="H64" s="404">
        <f t="shared" si="0"/>
        <v>101.86501540263195</v>
      </c>
    </row>
    <row r="65" spans="1:8" ht="26.25" customHeight="1" x14ac:dyDescent="0.4">
      <c r="A65" s="263" t="s">
        <v>97</v>
      </c>
      <c r="B65" s="264">
        <v>1</v>
      </c>
      <c r="C65" s="503"/>
      <c r="D65" s="506"/>
      <c r="E65" s="323">
        <v>2</v>
      </c>
      <c r="F65" s="276">
        <v>2482187</v>
      </c>
      <c r="G65" s="387">
        <f>IF(ISBLANK(F65),"-",(F65/$D$50*$D$47*$B$68)*($B$57/$D$64))</f>
        <v>815.44312388668959</v>
      </c>
      <c r="H65" s="405">
        <f t="shared" si="0"/>
        <v>101.93039048583621</v>
      </c>
    </row>
    <row r="66" spans="1:8" ht="26.25" customHeight="1" x14ac:dyDescent="0.4">
      <c r="A66" s="263" t="s">
        <v>98</v>
      </c>
      <c r="B66" s="264">
        <v>1</v>
      </c>
      <c r="C66" s="503"/>
      <c r="D66" s="506"/>
      <c r="E66" s="323">
        <v>3</v>
      </c>
      <c r="F66" s="276">
        <v>2488574</v>
      </c>
      <c r="G66" s="387">
        <f>IF(ISBLANK(F66),"-",(F66/$D$50*$D$47*$B$68)*($B$57/$D$64))</f>
        <v>817.5413683913398</v>
      </c>
      <c r="H66" s="405">
        <f t="shared" si="0"/>
        <v>102.19267104891748</v>
      </c>
    </row>
    <row r="67" spans="1:8" ht="27" customHeight="1" x14ac:dyDescent="0.4">
      <c r="A67" s="263" t="s">
        <v>99</v>
      </c>
      <c r="B67" s="264">
        <v>1</v>
      </c>
      <c r="C67" s="504"/>
      <c r="D67" s="507"/>
      <c r="E67" s="325">
        <v>4</v>
      </c>
      <c r="F67" s="326"/>
      <c r="G67" s="403" t="str">
        <f>IF(ISBLANK(F67),"-",(F67/$D$50*$D$47*$B$68)*($B$57/$D$64))</f>
        <v>-</v>
      </c>
      <c r="H67" s="406" t="str">
        <f t="shared" si="0"/>
        <v>-</v>
      </c>
    </row>
    <row r="68" spans="1:8" ht="26.25" customHeight="1" x14ac:dyDescent="0.4">
      <c r="A68" s="263" t="s">
        <v>100</v>
      </c>
      <c r="B68" s="327">
        <f>(B67/B66)*(B65/B64)*(B63/B62)*(B61/B60)*B59</f>
        <v>1000</v>
      </c>
      <c r="C68" s="502" t="s">
        <v>101</v>
      </c>
      <c r="D68" s="505">
        <v>211.04</v>
      </c>
      <c r="E68" s="321">
        <v>1</v>
      </c>
      <c r="F68" s="322">
        <v>2535232</v>
      </c>
      <c r="G68" s="386">
        <f>IF(ISBLANK(F68),"-",(F68/$D$50*$D$47*$B$68)*($B$57/$D$68))</f>
        <v>822.68739149913154</v>
      </c>
      <c r="H68" s="405">
        <f t="shared" si="0"/>
        <v>102.83592393739144</v>
      </c>
    </row>
    <row r="69" spans="1:8" ht="27" customHeight="1" x14ac:dyDescent="0.4">
      <c r="A69" s="311" t="s">
        <v>102</v>
      </c>
      <c r="B69" s="328">
        <f>(D47*B68)/B56*B57</f>
        <v>208.9906</v>
      </c>
      <c r="C69" s="503"/>
      <c r="D69" s="506"/>
      <c r="E69" s="323">
        <v>2</v>
      </c>
      <c r="F69" s="276">
        <v>2542243</v>
      </c>
      <c r="G69" s="387">
        <f>IF(ISBLANK(F69),"-",(F69/$D$50*$D$47*$B$68)*($B$57/$D$68))</f>
        <v>824.96247374083589</v>
      </c>
      <c r="H69" s="405">
        <f t="shared" si="0"/>
        <v>103.12030921760449</v>
      </c>
    </row>
    <row r="70" spans="1:8" ht="26.25" customHeight="1" x14ac:dyDescent="0.4">
      <c r="A70" s="515" t="s">
        <v>75</v>
      </c>
      <c r="B70" s="516"/>
      <c r="C70" s="503"/>
      <c r="D70" s="506"/>
      <c r="E70" s="323">
        <v>3</v>
      </c>
      <c r="F70" s="276">
        <v>2539936</v>
      </c>
      <c r="G70" s="387">
        <f>IF(ISBLANK(F70),"-",(F70/$D$50*$D$47*$B$68)*($B$57/$D$68))</f>
        <v>824.21384804812283</v>
      </c>
      <c r="H70" s="405">
        <f t="shared" si="0"/>
        <v>103.02673100601535</v>
      </c>
    </row>
    <row r="71" spans="1:8" ht="27" customHeight="1" x14ac:dyDescent="0.4">
      <c r="A71" s="517"/>
      <c r="B71" s="518"/>
      <c r="C71" s="514"/>
      <c r="D71" s="507"/>
      <c r="E71" s="325">
        <v>4</v>
      </c>
      <c r="F71" s="326"/>
      <c r="G71" s="403" t="str">
        <f>IF(ISBLANK(F71),"-",(F71/$D$50*$D$47*$B$68)*($B$57/$D$68))</f>
        <v>-</v>
      </c>
      <c r="H71" s="406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68</v>
      </c>
      <c r="G72" s="392">
        <f>AVERAGE(G60:G71)</f>
        <v>820.79428113391521</v>
      </c>
      <c r="H72" s="407">
        <f>AVERAGE(H60:H71)</f>
        <v>102.5992851417394</v>
      </c>
    </row>
    <row r="73" spans="1:8" ht="26.25" customHeight="1" x14ac:dyDescent="0.4">
      <c r="C73" s="329"/>
      <c r="D73" s="329"/>
      <c r="E73" s="329"/>
      <c r="F73" s="332" t="s">
        <v>81</v>
      </c>
      <c r="G73" s="391">
        <f>STDEV(G60:G71)/G72</f>
        <v>4.6588535095432905E-3</v>
      </c>
      <c r="H73" s="391">
        <f>STDEV(H60:H71)/H72</f>
        <v>4.6588535095432532E-3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103</v>
      </c>
      <c r="B76" s="336" t="s">
        <v>104</v>
      </c>
      <c r="C76" s="510" t="str">
        <f>B26</f>
        <v xml:space="preserve">Sulfamethoxazole </v>
      </c>
      <c r="D76" s="510"/>
      <c r="E76" s="337" t="s">
        <v>105</v>
      </c>
      <c r="F76" s="337"/>
      <c r="G76" s="423">
        <f>H72</f>
        <v>102.5992851417394</v>
      </c>
      <c r="H76" s="339"/>
    </row>
    <row r="77" spans="1:8" ht="18.75" x14ac:dyDescent="0.3">
      <c r="A77" s="246" t="s">
        <v>106</v>
      </c>
      <c r="B77" s="246" t="s">
        <v>107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496" t="str">
        <f>B26</f>
        <v xml:space="preserve">Sulfamethoxazole </v>
      </c>
      <c r="C79" s="496"/>
    </row>
    <row r="80" spans="1:8" ht="26.25" customHeight="1" x14ac:dyDescent="0.4">
      <c r="A80" s="248" t="s">
        <v>45</v>
      </c>
      <c r="B80" s="496" t="str">
        <f>B27</f>
        <v>S12-6</v>
      </c>
      <c r="C80" s="496"/>
    </row>
    <row r="81" spans="1:12" ht="27" customHeight="1" x14ac:dyDescent="0.4">
      <c r="A81" s="248" t="s">
        <v>6</v>
      </c>
      <c r="B81" s="340">
        <f>B28</f>
        <v>99.02</v>
      </c>
    </row>
    <row r="82" spans="1:12" s="3" customFormat="1" ht="27" customHeight="1" x14ac:dyDescent="0.4">
      <c r="A82" s="248" t="s">
        <v>46</v>
      </c>
      <c r="B82" s="250">
        <v>0</v>
      </c>
      <c r="C82" s="487" t="s">
        <v>47</v>
      </c>
      <c r="D82" s="488"/>
      <c r="E82" s="488"/>
      <c r="F82" s="488"/>
      <c r="G82" s="489"/>
      <c r="I82" s="251"/>
      <c r="J82" s="251"/>
      <c r="K82" s="251"/>
      <c r="L82" s="251"/>
    </row>
    <row r="83" spans="1:12" s="3" customFormat="1" ht="19.5" customHeight="1" x14ac:dyDescent="0.3">
      <c r="A83" s="248" t="s">
        <v>48</v>
      </c>
      <c r="B83" s="252">
        <f>B81-B82</f>
        <v>99.02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49</v>
      </c>
      <c r="B84" s="255">
        <v>1</v>
      </c>
      <c r="C84" s="490" t="s">
        <v>108</v>
      </c>
      <c r="D84" s="491"/>
      <c r="E84" s="491"/>
      <c r="F84" s="491"/>
      <c r="G84" s="491"/>
      <c r="H84" s="492"/>
      <c r="I84" s="251"/>
      <c r="J84" s="251"/>
      <c r="K84" s="251"/>
      <c r="L84" s="251"/>
    </row>
    <row r="85" spans="1:12" s="3" customFormat="1" ht="27" customHeight="1" x14ac:dyDescent="0.4">
      <c r="A85" s="248" t="s">
        <v>51</v>
      </c>
      <c r="B85" s="255">
        <v>1</v>
      </c>
      <c r="C85" s="490" t="s">
        <v>109</v>
      </c>
      <c r="D85" s="491"/>
      <c r="E85" s="491"/>
      <c r="F85" s="491"/>
      <c r="G85" s="491"/>
      <c r="H85" s="492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53</v>
      </c>
      <c r="B87" s="260">
        <f>B84/B85</f>
        <v>1</v>
      </c>
      <c r="C87" s="238" t="s">
        <v>54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55</v>
      </c>
      <c r="B89" s="262">
        <v>100</v>
      </c>
      <c r="D89" s="341" t="s">
        <v>56</v>
      </c>
      <c r="E89" s="342"/>
      <c r="F89" s="493" t="s">
        <v>57</v>
      </c>
      <c r="G89" s="495"/>
    </row>
    <row r="90" spans="1:12" ht="27" customHeight="1" x14ac:dyDescent="0.4">
      <c r="A90" s="263" t="s">
        <v>58</v>
      </c>
      <c r="B90" s="264">
        <v>1</v>
      </c>
      <c r="C90" s="343" t="s">
        <v>59</v>
      </c>
      <c r="D90" s="266" t="s">
        <v>60</v>
      </c>
      <c r="E90" s="267" t="s">
        <v>61</v>
      </c>
      <c r="F90" s="266" t="s">
        <v>60</v>
      </c>
      <c r="G90" s="344" t="s">
        <v>61</v>
      </c>
      <c r="I90" s="269" t="s">
        <v>62</v>
      </c>
    </row>
    <row r="91" spans="1:12" ht="26.25" customHeight="1" x14ac:dyDescent="0.4">
      <c r="A91" s="263" t="s">
        <v>63</v>
      </c>
      <c r="B91" s="264">
        <v>1</v>
      </c>
      <c r="C91" s="345">
        <v>1</v>
      </c>
      <c r="D91" s="271">
        <v>2556393</v>
      </c>
      <c r="E91" s="272">
        <f>IF(ISBLANK(D91),"-",$D$101/$D$98*D91)</f>
        <v>2741742.8352614692</v>
      </c>
      <c r="F91" s="271">
        <v>2242997</v>
      </c>
      <c r="G91" s="273">
        <f>IF(ISBLANK(F91),"-",$D$101/$F$98*F91)</f>
        <v>2686467.6243613176</v>
      </c>
      <c r="I91" s="274"/>
    </row>
    <row r="92" spans="1:12" ht="26.25" customHeight="1" x14ac:dyDescent="0.4">
      <c r="A92" s="263" t="s">
        <v>64</v>
      </c>
      <c r="B92" s="264">
        <v>1</v>
      </c>
      <c r="C92" s="330">
        <v>2</v>
      </c>
      <c r="D92" s="276">
        <v>2554432</v>
      </c>
      <c r="E92" s="277">
        <f>IF(ISBLANK(D92),"-",$D$101/$D$98*D92)</f>
        <v>2739639.6540604769</v>
      </c>
      <c r="F92" s="276">
        <v>2236790</v>
      </c>
      <c r="G92" s="278">
        <f>IF(ISBLANK(F92),"-",$D$101/$F$98*F92)</f>
        <v>2679033.4171178793</v>
      </c>
      <c r="I92" s="497">
        <f>ABS((F96/D96*D95)-F95)/D95</f>
        <v>1.9529168429018688E-2</v>
      </c>
    </row>
    <row r="93" spans="1:12" ht="26.25" customHeight="1" x14ac:dyDescent="0.4">
      <c r="A93" s="263" t="s">
        <v>65</v>
      </c>
      <c r="B93" s="264">
        <v>1</v>
      </c>
      <c r="C93" s="330">
        <v>3</v>
      </c>
      <c r="D93" s="276">
        <v>2560604</v>
      </c>
      <c r="E93" s="277">
        <f>IF(ISBLANK(D93),"-",$D$101/$D$98*D93)</f>
        <v>2746259.1514457515</v>
      </c>
      <c r="F93" s="276">
        <v>2239854</v>
      </c>
      <c r="G93" s="278">
        <f>IF(ISBLANK(F93),"-",$D$101/$F$98*F93)</f>
        <v>2682703.2110592187</v>
      </c>
      <c r="I93" s="497"/>
    </row>
    <row r="94" spans="1:12" ht="27" customHeight="1" x14ac:dyDescent="0.4">
      <c r="A94" s="263" t="s">
        <v>66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281"/>
      <c r="G94" s="283" t="str">
        <f>IF(ISBLANK(F94),"-",$D$101/$F$98*F94)</f>
        <v>-</v>
      </c>
      <c r="I94" s="284"/>
    </row>
    <row r="95" spans="1:12" ht="27" customHeight="1" x14ac:dyDescent="0.4">
      <c r="A95" s="263" t="s">
        <v>67</v>
      </c>
      <c r="B95" s="264">
        <v>1</v>
      </c>
      <c r="C95" s="347" t="s">
        <v>68</v>
      </c>
      <c r="D95" s="348">
        <f>AVERAGE(D91:D94)</f>
        <v>2557143</v>
      </c>
      <c r="E95" s="287">
        <f>AVERAGE(E91:E94)</f>
        <v>2742547.2135892324</v>
      </c>
      <c r="F95" s="349">
        <f>AVERAGE(F91:F94)</f>
        <v>2239880.3333333335</v>
      </c>
      <c r="G95" s="350">
        <f>AVERAGE(G91:G94)</f>
        <v>2682734.7508461382</v>
      </c>
    </row>
    <row r="96" spans="1:12" ht="26.25" customHeight="1" x14ac:dyDescent="0.4">
      <c r="A96" s="263" t="s">
        <v>69</v>
      </c>
      <c r="B96" s="249">
        <v>1</v>
      </c>
      <c r="C96" s="351" t="s">
        <v>110</v>
      </c>
      <c r="D96" s="352">
        <v>16.739999999999998</v>
      </c>
      <c r="E96" s="279"/>
      <c r="F96" s="291">
        <v>14.99</v>
      </c>
    </row>
    <row r="97" spans="1:10" ht="26.25" customHeight="1" x14ac:dyDescent="0.4">
      <c r="A97" s="263" t="s">
        <v>71</v>
      </c>
      <c r="B97" s="249">
        <v>1</v>
      </c>
      <c r="C97" s="353" t="s">
        <v>111</v>
      </c>
      <c r="D97" s="354">
        <f>D96*$B$87</f>
        <v>16.739999999999998</v>
      </c>
      <c r="E97" s="294"/>
      <c r="F97" s="293">
        <f>F96*$B$87</f>
        <v>14.99</v>
      </c>
    </row>
    <row r="98" spans="1:10" ht="19.5" customHeight="1" x14ac:dyDescent="0.3">
      <c r="A98" s="263" t="s">
        <v>73</v>
      </c>
      <c r="B98" s="355">
        <f>(B97/B96)*(B95/B94)*(B93/B92)*(B91/B90)*B89</f>
        <v>100</v>
      </c>
      <c r="C98" s="353" t="s">
        <v>112</v>
      </c>
      <c r="D98" s="356">
        <f>D97*$B$83/100</f>
        <v>16.575947999999997</v>
      </c>
      <c r="E98" s="297"/>
      <c r="F98" s="296">
        <f>F97*$B$83/100</f>
        <v>14.843097999999999</v>
      </c>
    </row>
    <row r="99" spans="1:10" ht="19.5" customHeight="1" x14ac:dyDescent="0.3">
      <c r="A99" s="498" t="s">
        <v>75</v>
      </c>
      <c r="B99" s="512"/>
      <c r="C99" s="353" t="s">
        <v>113</v>
      </c>
      <c r="D99" s="357">
        <f>D98/$B$98</f>
        <v>0.16575947999999996</v>
      </c>
      <c r="E99" s="297"/>
      <c r="F99" s="300">
        <f>F98/$B$98</f>
        <v>0.14843097999999999</v>
      </c>
      <c r="G99" s="358"/>
      <c r="H99" s="289"/>
    </row>
    <row r="100" spans="1:10" ht="19.5" customHeight="1" x14ac:dyDescent="0.3">
      <c r="A100" s="500"/>
      <c r="B100" s="513"/>
      <c r="C100" s="353" t="s">
        <v>77</v>
      </c>
      <c r="D100" s="359">
        <f>$B$56/$B$116</f>
        <v>0.17777777777777778</v>
      </c>
      <c r="F100" s="305"/>
      <c r="G100" s="360"/>
      <c r="H100" s="289"/>
    </row>
    <row r="101" spans="1:10" ht="18.75" x14ac:dyDescent="0.3">
      <c r="C101" s="353" t="s">
        <v>78</v>
      </c>
      <c r="D101" s="354">
        <f>D100*$B$98</f>
        <v>17.777777777777779</v>
      </c>
      <c r="F101" s="305"/>
      <c r="G101" s="358"/>
      <c r="H101" s="289"/>
    </row>
    <row r="102" spans="1:10" ht="19.5" customHeight="1" x14ac:dyDescent="0.3">
      <c r="C102" s="361" t="s">
        <v>79</v>
      </c>
      <c r="D102" s="362">
        <f>D101/B34</f>
        <v>17.777777777777779</v>
      </c>
      <c r="F102" s="309"/>
      <c r="G102" s="358"/>
      <c r="H102" s="289"/>
      <c r="J102" s="363"/>
    </row>
    <row r="103" spans="1:10" ht="18.75" x14ac:dyDescent="0.3">
      <c r="C103" s="364" t="s">
        <v>114</v>
      </c>
      <c r="D103" s="365">
        <f>AVERAGE(E91:E94,G91:G94)</f>
        <v>2712640.9822176853</v>
      </c>
      <c r="F103" s="309"/>
      <c r="G103" s="366"/>
      <c r="H103" s="289"/>
      <c r="J103" s="367"/>
    </row>
    <row r="104" spans="1:10" ht="18.75" x14ac:dyDescent="0.3">
      <c r="C104" s="332" t="s">
        <v>81</v>
      </c>
      <c r="D104" s="368">
        <f>STDEV(E91:E94,G91:G94)/D103</f>
        <v>1.2133735040853938E-2</v>
      </c>
      <c r="F104" s="309"/>
      <c r="G104" s="358"/>
      <c r="H104" s="289"/>
      <c r="J104" s="367"/>
    </row>
    <row r="105" spans="1:10" ht="19.5" customHeight="1" x14ac:dyDescent="0.3">
      <c r="C105" s="334" t="s">
        <v>20</v>
      </c>
      <c r="D105" s="369">
        <f>COUNT(E91:E94,G91:G94)</f>
        <v>6</v>
      </c>
      <c r="F105" s="309"/>
      <c r="G105" s="358"/>
      <c r="H105" s="289"/>
      <c r="J105" s="367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115</v>
      </c>
      <c r="B107" s="262">
        <v>900</v>
      </c>
      <c r="C107" s="408" t="s">
        <v>116</v>
      </c>
      <c r="D107" s="408" t="s">
        <v>60</v>
      </c>
      <c r="E107" s="408" t="s">
        <v>117</v>
      </c>
      <c r="F107" s="370" t="s">
        <v>118</v>
      </c>
    </row>
    <row r="108" spans="1:10" ht="26.25" customHeight="1" x14ac:dyDescent="0.4">
      <c r="A108" s="263" t="s">
        <v>119</v>
      </c>
      <c r="B108" s="264">
        <v>4</v>
      </c>
      <c r="C108" s="413">
        <v>1</v>
      </c>
      <c r="D108" s="414">
        <v>2705654</v>
      </c>
      <c r="E108" s="388">
        <f t="shared" ref="E108:E113" si="1">IF(ISBLANK(D108),"-",D108/$D$103*$D$100*$B$116)</f>
        <v>797.93943031503625</v>
      </c>
      <c r="F108" s="415">
        <f t="shared" ref="F108:F113" si="2">IF(ISBLANK(D108), "-", (E108/$B$56)*100)</f>
        <v>99.742428789379531</v>
      </c>
    </row>
    <row r="109" spans="1:10" ht="26.25" customHeight="1" x14ac:dyDescent="0.4">
      <c r="A109" s="263" t="s">
        <v>92</v>
      </c>
      <c r="B109" s="264">
        <v>20</v>
      </c>
      <c r="C109" s="409">
        <v>2</v>
      </c>
      <c r="D109" s="411">
        <v>2711610</v>
      </c>
      <c r="E109" s="389">
        <f t="shared" si="1"/>
        <v>799.69594731497648</v>
      </c>
      <c r="F109" s="416">
        <f t="shared" si="2"/>
        <v>99.96199341437206</v>
      </c>
    </row>
    <row r="110" spans="1:10" ht="26.25" customHeight="1" x14ac:dyDescent="0.4">
      <c r="A110" s="263" t="s">
        <v>93</v>
      </c>
      <c r="B110" s="264">
        <v>1</v>
      </c>
      <c r="C110" s="409">
        <v>3</v>
      </c>
      <c r="D110" s="411">
        <v>2700619</v>
      </c>
      <c r="E110" s="389">
        <f t="shared" si="1"/>
        <v>796.45453053419351</v>
      </c>
      <c r="F110" s="416">
        <f t="shared" si="2"/>
        <v>99.556816316774189</v>
      </c>
    </row>
    <row r="111" spans="1:10" ht="26.25" customHeight="1" x14ac:dyDescent="0.4">
      <c r="A111" s="263" t="s">
        <v>94</v>
      </c>
      <c r="B111" s="264">
        <v>1</v>
      </c>
      <c r="C111" s="409">
        <v>4</v>
      </c>
      <c r="D111" s="411">
        <v>2698112</v>
      </c>
      <c r="E111" s="389">
        <f t="shared" si="1"/>
        <v>795.71517725701915</v>
      </c>
      <c r="F111" s="416">
        <f t="shared" si="2"/>
        <v>99.464397157127394</v>
      </c>
    </row>
    <row r="112" spans="1:10" ht="26.25" customHeight="1" x14ac:dyDescent="0.4">
      <c r="A112" s="263" t="s">
        <v>95</v>
      </c>
      <c r="B112" s="264">
        <v>1</v>
      </c>
      <c r="C112" s="409">
        <v>5</v>
      </c>
      <c r="D112" s="411">
        <v>2710887</v>
      </c>
      <c r="E112" s="389">
        <f t="shared" si="1"/>
        <v>799.48272337425169</v>
      </c>
      <c r="F112" s="416">
        <f t="shared" si="2"/>
        <v>99.935340421781461</v>
      </c>
    </row>
    <row r="113" spans="1:10" ht="27" customHeight="1" x14ac:dyDescent="0.4">
      <c r="A113" s="263" t="s">
        <v>97</v>
      </c>
      <c r="B113" s="264">
        <v>1</v>
      </c>
      <c r="C113" s="410">
        <v>6</v>
      </c>
      <c r="D113" s="412">
        <v>2726649</v>
      </c>
      <c r="E113" s="390">
        <f t="shared" si="1"/>
        <v>804.13118223138042</v>
      </c>
      <c r="F113" s="417">
        <f t="shared" si="2"/>
        <v>100.51639777892257</v>
      </c>
    </row>
    <row r="114" spans="1:10" ht="27" customHeight="1" x14ac:dyDescent="0.4">
      <c r="A114" s="263" t="s">
        <v>98</v>
      </c>
      <c r="B114" s="264">
        <v>1</v>
      </c>
      <c r="C114" s="371"/>
      <c r="D114" s="330"/>
      <c r="E114" s="237"/>
      <c r="F114" s="418"/>
    </row>
    <row r="115" spans="1:10" ht="26.25" customHeight="1" x14ac:dyDescent="0.4">
      <c r="A115" s="263" t="s">
        <v>99</v>
      </c>
      <c r="B115" s="264">
        <v>1</v>
      </c>
      <c r="C115" s="371"/>
      <c r="D115" s="395" t="s">
        <v>68</v>
      </c>
      <c r="E115" s="397">
        <f>AVERAGE(E108:E113)</f>
        <v>798.90316517114297</v>
      </c>
      <c r="F115" s="419">
        <f>AVERAGE(F108:F113)</f>
        <v>99.862895646392872</v>
      </c>
    </row>
    <row r="116" spans="1:10" ht="27" customHeight="1" x14ac:dyDescent="0.4">
      <c r="A116" s="263" t="s">
        <v>100</v>
      </c>
      <c r="B116" s="295">
        <f>(B115/B114)*(B113/B112)*(B111/B110)*(B109/B108)*B107</f>
        <v>4500</v>
      </c>
      <c r="C116" s="372"/>
      <c r="D116" s="396" t="s">
        <v>81</v>
      </c>
      <c r="E116" s="394">
        <f>STDEV(E108:E113)/E115</f>
        <v>3.7711537295712322E-3</v>
      </c>
      <c r="F116" s="373">
        <f>STDEV(F108:F113)/F115</f>
        <v>3.771153729571282E-3</v>
      </c>
      <c r="I116" s="237"/>
    </row>
    <row r="117" spans="1:10" ht="27" customHeight="1" x14ac:dyDescent="0.4">
      <c r="A117" s="498" t="s">
        <v>75</v>
      </c>
      <c r="B117" s="499"/>
      <c r="C117" s="374"/>
      <c r="D117" s="334" t="s">
        <v>20</v>
      </c>
      <c r="E117" s="399">
        <f>COUNT(E108:E113)</f>
        <v>6</v>
      </c>
      <c r="F117" s="400">
        <f>COUNT(F108:F113)</f>
        <v>6</v>
      </c>
      <c r="I117" s="237"/>
      <c r="J117" s="367"/>
    </row>
    <row r="118" spans="1:10" ht="26.25" customHeight="1" x14ac:dyDescent="0.3">
      <c r="A118" s="500"/>
      <c r="B118" s="501"/>
      <c r="C118" s="237"/>
      <c r="D118" s="398"/>
      <c r="E118" s="478" t="s">
        <v>120</v>
      </c>
      <c r="F118" s="479"/>
      <c r="G118" s="237"/>
      <c r="H118" s="237"/>
      <c r="I118" s="237"/>
    </row>
    <row r="119" spans="1:10" ht="25.5" customHeight="1" x14ac:dyDescent="0.4">
      <c r="A119" s="383"/>
      <c r="B119" s="259"/>
      <c r="C119" s="237"/>
      <c r="D119" s="396" t="s">
        <v>121</v>
      </c>
      <c r="E119" s="401">
        <f>MIN(E108:E113)</f>
        <v>795.71517725701915</v>
      </c>
      <c r="F119" s="420">
        <f>MIN(F108:F113)</f>
        <v>99.464397157127394</v>
      </c>
      <c r="G119" s="237"/>
      <c r="H119" s="237"/>
      <c r="I119" s="237"/>
    </row>
    <row r="120" spans="1:10" ht="24" customHeight="1" x14ac:dyDescent="0.4">
      <c r="A120" s="383"/>
      <c r="B120" s="259"/>
      <c r="C120" s="237"/>
      <c r="D120" s="306" t="s">
        <v>122</v>
      </c>
      <c r="E120" s="402">
        <f>MAX(E108:E113)</f>
        <v>804.13118223138042</v>
      </c>
      <c r="F120" s="421">
        <f>MAX(F108:F113)</f>
        <v>100.51639777892257</v>
      </c>
      <c r="G120" s="237"/>
      <c r="H120" s="237"/>
      <c r="I120" s="237"/>
    </row>
    <row r="121" spans="1:10" ht="27" customHeight="1" x14ac:dyDescent="0.3">
      <c r="A121" s="383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3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3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103</v>
      </c>
      <c r="B124" s="336" t="s">
        <v>123</v>
      </c>
      <c r="C124" s="510" t="str">
        <f>B26</f>
        <v xml:space="preserve">Sulfamethoxazole </v>
      </c>
      <c r="D124" s="510"/>
      <c r="E124" s="337" t="s">
        <v>124</v>
      </c>
      <c r="F124" s="337"/>
      <c r="G124" s="422">
        <f>F115</f>
        <v>99.862895646392872</v>
      </c>
      <c r="H124" s="237"/>
      <c r="I124" s="237"/>
    </row>
    <row r="125" spans="1:10" ht="45.75" customHeight="1" x14ac:dyDescent="0.65">
      <c r="A125" s="247"/>
      <c r="B125" s="336" t="s">
        <v>125</v>
      </c>
      <c r="C125" s="248" t="s">
        <v>126</v>
      </c>
      <c r="D125" s="422">
        <f>MIN(F108:F113)</f>
        <v>99.464397157127394</v>
      </c>
      <c r="E125" s="347" t="s">
        <v>127</v>
      </c>
      <c r="F125" s="422">
        <f>MAX(F108:F113)</f>
        <v>100.51639777892257</v>
      </c>
      <c r="G125" s="338"/>
      <c r="H125" s="237"/>
      <c r="I125" s="237"/>
    </row>
    <row r="126" spans="1:10" ht="19.5" customHeight="1" x14ac:dyDescent="0.3">
      <c r="A126" s="375"/>
      <c r="B126" s="375"/>
      <c r="C126" s="376"/>
      <c r="D126" s="376"/>
      <c r="E126" s="376"/>
      <c r="F126" s="376"/>
      <c r="G126" s="376"/>
      <c r="H126" s="376"/>
    </row>
    <row r="127" spans="1:10" ht="18.75" x14ac:dyDescent="0.3">
      <c r="B127" s="511" t="s">
        <v>23</v>
      </c>
      <c r="C127" s="511"/>
      <c r="E127" s="343" t="s">
        <v>24</v>
      </c>
      <c r="F127" s="377"/>
      <c r="G127" s="511" t="s">
        <v>25</v>
      </c>
      <c r="H127" s="511"/>
    </row>
    <row r="128" spans="1:10" ht="69.95" customHeight="1" x14ac:dyDescent="0.3">
      <c r="A128" s="378" t="s">
        <v>26</v>
      </c>
      <c r="B128" s="379"/>
      <c r="C128" s="379"/>
      <c r="E128" s="379"/>
      <c r="F128" s="237"/>
      <c r="G128" s="380"/>
      <c r="H128" s="380"/>
    </row>
    <row r="129" spans="1:9" ht="69.95" customHeight="1" x14ac:dyDescent="0.3">
      <c r="A129" s="378" t="s">
        <v>27</v>
      </c>
      <c r="B129" s="381"/>
      <c r="C129" s="381"/>
      <c r="E129" s="381"/>
      <c r="F129" s="237"/>
      <c r="G129" s="382"/>
      <c r="H129" s="382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 Sulfamethoxazole</vt:lpstr>
      <vt:lpstr>Uniformity</vt:lpstr>
      <vt:lpstr>Trimethoprim</vt:lpstr>
      <vt:lpstr>Sulfamethoxazole</vt:lpstr>
      <vt:lpstr>'SST 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2018-08-16T13:04:05Z</cp:lastPrinted>
  <dcterms:created xsi:type="dcterms:W3CDTF">2005-07-05T10:19:27Z</dcterms:created>
  <dcterms:modified xsi:type="dcterms:W3CDTF">2018-08-22T10:44:34Z</dcterms:modified>
</cp:coreProperties>
</file>